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440" windowHeight="8760"/>
  </bookViews>
  <sheets>
    <sheet name="Report_Anagrafica (1)" sheetId="1" r:id="rId1"/>
  </sheets>
  <calcPr calcId="125725"/>
</workbook>
</file>

<file path=xl/calcChain.xml><?xml version="1.0" encoding="utf-8"?>
<calcChain xmlns="http://schemas.openxmlformats.org/spreadsheetml/2006/main">
  <c r="D2" i="1"/>
  <c r="I2"/>
  <c r="J2"/>
  <c r="D3"/>
  <c r="I3"/>
  <c r="J3"/>
  <c r="D4"/>
  <c r="I4"/>
  <c r="J4"/>
  <c r="D5"/>
  <c r="I5"/>
  <c r="J5"/>
  <c r="D6"/>
  <c r="I6"/>
  <c r="J6"/>
  <c r="D7"/>
  <c r="I7"/>
  <c r="J7"/>
  <c r="D8"/>
  <c r="I8"/>
  <c r="J8"/>
  <c r="D9"/>
  <c r="I9"/>
  <c r="J9"/>
  <c r="D10"/>
  <c r="I10"/>
  <c r="J10"/>
  <c r="D11"/>
  <c r="I11"/>
  <c r="J11"/>
  <c r="D12"/>
  <c r="I12"/>
  <c r="J12"/>
  <c r="D13"/>
  <c r="I13"/>
  <c r="J13"/>
  <c r="D14"/>
  <c r="I14"/>
  <c r="J14"/>
  <c r="D15"/>
  <c r="I15"/>
  <c r="J15"/>
  <c r="D16"/>
  <c r="I16"/>
  <c r="J16"/>
  <c r="D17"/>
  <c r="I17"/>
  <c r="J17"/>
  <c r="D18"/>
  <c r="I18"/>
  <c r="J18"/>
  <c r="D19"/>
  <c r="I19"/>
  <c r="J19"/>
  <c r="D20"/>
  <c r="I20"/>
  <c r="J20"/>
  <c r="D21"/>
  <c r="I21"/>
  <c r="J21"/>
  <c r="D22"/>
  <c r="I22"/>
  <c r="J22"/>
  <c r="D23"/>
  <c r="I23"/>
  <c r="J23"/>
  <c r="D24"/>
  <c r="I24"/>
  <c r="J24"/>
  <c r="D25"/>
  <c r="I25"/>
  <c r="J25"/>
  <c r="D26"/>
  <c r="I26"/>
  <c r="J26"/>
  <c r="D27"/>
  <c r="I27"/>
  <c r="J27"/>
  <c r="D28"/>
  <c r="I28"/>
  <c r="J28"/>
  <c r="D29"/>
  <c r="I29"/>
  <c r="J29"/>
  <c r="D30"/>
  <c r="I30"/>
  <c r="J30"/>
  <c r="D31"/>
  <c r="I31"/>
  <c r="J31"/>
  <c r="D32"/>
  <c r="I32"/>
  <c r="J32"/>
  <c r="D33"/>
  <c r="I33"/>
  <c r="J33"/>
  <c r="D34"/>
  <c r="I34"/>
  <c r="J34"/>
  <c r="D35"/>
  <c r="I35"/>
  <c r="J35"/>
  <c r="D36"/>
  <c r="I36"/>
  <c r="J36"/>
  <c r="D37"/>
  <c r="I37"/>
  <c r="J37"/>
  <c r="D38"/>
  <c r="I38"/>
  <c r="J38"/>
  <c r="D39"/>
  <c r="I39"/>
  <c r="J39"/>
  <c r="D40"/>
  <c r="I40"/>
  <c r="J40"/>
  <c r="D41"/>
  <c r="I41"/>
  <c r="J41"/>
  <c r="D42"/>
  <c r="I42"/>
  <c r="J42"/>
  <c r="D43"/>
  <c r="I43"/>
  <c r="J43"/>
  <c r="D44"/>
  <c r="I44"/>
  <c r="J44"/>
  <c r="D45"/>
  <c r="I45"/>
  <c r="J45"/>
  <c r="D46"/>
  <c r="I46"/>
  <c r="J46"/>
  <c r="D47"/>
  <c r="I47"/>
  <c r="J47"/>
  <c r="D48"/>
  <c r="I48"/>
  <c r="J48"/>
  <c r="D49"/>
  <c r="I49"/>
  <c r="J49"/>
  <c r="D50"/>
  <c r="I50"/>
  <c r="J50"/>
  <c r="D51"/>
  <c r="I51"/>
  <c r="J51"/>
  <c r="D52"/>
  <c r="I52"/>
  <c r="J52"/>
  <c r="D53"/>
  <c r="I53"/>
  <c r="J53"/>
  <c r="D54"/>
  <c r="I54"/>
  <c r="J54"/>
  <c r="D55"/>
  <c r="I55"/>
  <c r="J55"/>
  <c r="D56"/>
  <c r="I56"/>
  <c r="J56"/>
  <c r="D57"/>
  <c r="I57"/>
  <c r="J57"/>
  <c r="D58"/>
  <c r="I58"/>
  <c r="J58"/>
  <c r="D59"/>
  <c r="I59"/>
  <c r="J59"/>
  <c r="D60"/>
  <c r="I60"/>
  <c r="J60"/>
  <c r="D61"/>
  <c r="I61"/>
  <c r="J61"/>
  <c r="D62"/>
  <c r="I62"/>
  <c r="J62"/>
  <c r="D63"/>
  <c r="I63"/>
  <c r="J63"/>
  <c r="D64"/>
  <c r="I64"/>
  <c r="J64"/>
  <c r="D65"/>
  <c r="I65"/>
  <c r="J65"/>
  <c r="D66"/>
  <c r="I66"/>
  <c r="J66"/>
  <c r="D67"/>
  <c r="I67"/>
  <c r="J67"/>
  <c r="D68"/>
  <c r="I68"/>
  <c r="J68"/>
  <c r="D69"/>
  <c r="I69"/>
  <c r="J69"/>
  <c r="D70"/>
  <c r="I70"/>
  <c r="J70"/>
  <c r="D71"/>
  <c r="I71"/>
  <c r="J71"/>
  <c r="D72"/>
  <c r="I72"/>
  <c r="J72"/>
  <c r="D73"/>
  <c r="I73"/>
  <c r="J73"/>
  <c r="D74"/>
  <c r="I74"/>
  <c r="J74"/>
  <c r="D75"/>
  <c r="I75"/>
  <c r="J75"/>
  <c r="D76"/>
  <c r="I76"/>
  <c r="J76"/>
  <c r="D77"/>
  <c r="I77"/>
  <c r="J77"/>
  <c r="D78"/>
  <c r="I78"/>
  <c r="J78"/>
  <c r="D79"/>
  <c r="I79"/>
  <c r="J79"/>
  <c r="D80"/>
  <c r="I80"/>
  <c r="J80"/>
  <c r="D81"/>
  <c r="I81"/>
  <c r="J81"/>
  <c r="D82"/>
  <c r="I82"/>
  <c r="J82"/>
  <c r="D83"/>
  <c r="I83"/>
  <c r="J83"/>
  <c r="D84"/>
  <c r="I84"/>
  <c r="J84"/>
  <c r="D85"/>
  <c r="I85"/>
  <c r="J85"/>
  <c r="D86"/>
  <c r="I86"/>
  <c r="J86"/>
  <c r="D87"/>
  <c r="I87"/>
  <c r="J87"/>
  <c r="D88"/>
  <c r="I88"/>
  <c r="J88"/>
  <c r="D89"/>
  <c r="I89"/>
  <c r="J89"/>
  <c r="D90"/>
  <c r="I90"/>
  <c r="J90"/>
  <c r="D91"/>
  <c r="I91"/>
  <c r="J91"/>
  <c r="D92"/>
  <c r="I92"/>
  <c r="J92"/>
  <c r="D93"/>
  <c r="I93"/>
  <c r="J93"/>
  <c r="D94"/>
  <c r="I94"/>
  <c r="J94"/>
  <c r="D95"/>
  <c r="I95"/>
  <c r="J95"/>
  <c r="D96"/>
  <c r="I96"/>
  <c r="J96"/>
  <c r="D97"/>
  <c r="I97"/>
  <c r="J97"/>
  <c r="D98"/>
  <c r="I98"/>
  <c r="J98"/>
  <c r="D99"/>
  <c r="I99"/>
  <c r="J99"/>
  <c r="D100"/>
  <c r="I100"/>
  <c r="J100"/>
  <c r="D101"/>
  <c r="I101"/>
  <c r="J101"/>
  <c r="D102"/>
  <c r="I102"/>
  <c r="J102"/>
  <c r="D103"/>
  <c r="I103"/>
  <c r="J103"/>
  <c r="D104"/>
  <c r="I104"/>
  <c r="J104"/>
  <c r="D105"/>
  <c r="I105"/>
  <c r="J105"/>
  <c r="D106"/>
  <c r="I106"/>
  <c r="J106"/>
  <c r="D107"/>
  <c r="I107"/>
  <c r="J107"/>
  <c r="D108"/>
  <c r="I108"/>
  <c r="J108"/>
  <c r="D109"/>
  <c r="I109"/>
  <c r="J109"/>
  <c r="D110"/>
  <c r="I110"/>
  <c r="J110"/>
  <c r="D111"/>
  <c r="I111"/>
  <c r="J111"/>
  <c r="D112"/>
  <c r="I112"/>
  <c r="J112"/>
  <c r="D113"/>
  <c r="I113"/>
  <c r="J113"/>
  <c r="D114"/>
  <c r="I114"/>
  <c r="J114"/>
  <c r="D115"/>
  <c r="I115"/>
  <c r="J115"/>
  <c r="D116"/>
  <c r="I116"/>
  <c r="J116"/>
  <c r="D117"/>
  <c r="I117"/>
  <c r="J117"/>
  <c r="D118"/>
  <c r="I118"/>
  <c r="J118"/>
  <c r="D119"/>
  <c r="I119"/>
  <c r="J119"/>
  <c r="D120"/>
  <c r="I120"/>
  <c r="J120"/>
  <c r="D121"/>
  <c r="I121"/>
  <c r="J121"/>
  <c r="D122"/>
  <c r="I122"/>
  <c r="J122"/>
  <c r="D123"/>
  <c r="I123"/>
  <c r="J123"/>
  <c r="D124"/>
  <c r="I124"/>
  <c r="J124"/>
  <c r="D125"/>
  <c r="I125"/>
  <c r="J125"/>
  <c r="D126"/>
  <c r="I126"/>
  <c r="J126"/>
  <c r="D127"/>
  <c r="I127"/>
  <c r="J127"/>
  <c r="D128"/>
  <c r="I128"/>
  <c r="J128"/>
  <c r="D129"/>
  <c r="I129"/>
  <c r="J129"/>
  <c r="D130"/>
  <c r="I130"/>
  <c r="J130"/>
  <c r="D131"/>
  <c r="I131"/>
  <c r="J131"/>
  <c r="D132"/>
  <c r="I132"/>
  <c r="J132"/>
  <c r="D133"/>
  <c r="I133"/>
  <c r="J133"/>
  <c r="D134"/>
  <c r="I134"/>
  <c r="J134"/>
  <c r="D135"/>
  <c r="I135"/>
  <c r="J135"/>
  <c r="D136"/>
  <c r="I136"/>
  <c r="J136"/>
  <c r="D137"/>
  <c r="I137"/>
  <c r="J137"/>
  <c r="D138"/>
  <c r="I138"/>
  <c r="J138"/>
  <c r="D139"/>
  <c r="I139"/>
  <c r="J139"/>
  <c r="D140"/>
  <c r="I140"/>
  <c r="J140"/>
  <c r="D141"/>
  <c r="I141"/>
  <c r="J141"/>
  <c r="D142"/>
  <c r="I142"/>
  <c r="J142"/>
  <c r="D143"/>
  <c r="I143"/>
  <c r="J143"/>
  <c r="D144"/>
  <c r="I144"/>
  <c r="J144"/>
  <c r="D145"/>
  <c r="I145"/>
  <c r="J145"/>
  <c r="D146"/>
  <c r="I146"/>
  <c r="J146"/>
  <c r="D147"/>
  <c r="I147"/>
  <c r="J147"/>
  <c r="D148"/>
  <c r="I148"/>
  <c r="J148"/>
  <c r="D149"/>
  <c r="I149"/>
  <c r="J149"/>
  <c r="D150"/>
  <c r="I150"/>
  <c r="J150"/>
  <c r="D151"/>
  <c r="I151"/>
  <c r="J151"/>
  <c r="D152"/>
  <c r="I152"/>
  <c r="J152"/>
  <c r="D153"/>
  <c r="I153"/>
  <c r="J153"/>
  <c r="D154"/>
  <c r="I154"/>
  <c r="J154"/>
  <c r="D155"/>
  <c r="I155"/>
  <c r="J155"/>
  <c r="D156"/>
  <c r="I156"/>
  <c r="J156"/>
  <c r="D157"/>
  <c r="I157"/>
  <c r="J157"/>
  <c r="D158"/>
  <c r="I158"/>
  <c r="J158"/>
  <c r="D159"/>
  <c r="I159"/>
  <c r="J159"/>
  <c r="D160"/>
  <c r="I160"/>
  <c r="J160"/>
  <c r="D161"/>
  <c r="I161"/>
  <c r="J161"/>
  <c r="D162"/>
  <c r="I162"/>
  <c r="J162"/>
  <c r="D163"/>
  <c r="I163"/>
  <c r="J163"/>
  <c r="D164"/>
  <c r="I164"/>
  <c r="J164"/>
  <c r="D165"/>
  <c r="I165"/>
  <c r="J165"/>
  <c r="D166"/>
  <c r="I166"/>
  <c r="J166"/>
  <c r="D167"/>
  <c r="I167"/>
  <c r="J167"/>
  <c r="D168"/>
  <c r="I168"/>
  <c r="J168"/>
  <c r="D169"/>
  <c r="I169"/>
  <c r="J169"/>
  <c r="D170"/>
  <c r="I170"/>
  <c r="J170"/>
  <c r="D171"/>
  <c r="I171"/>
  <c r="J171"/>
  <c r="D172"/>
  <c r="I172"/>
  <c r="J172"/>
  <c r="D173"/>
  <c r="I173"/>
  <c r="J173"/>
  <c r="D174"/>
  <c r="I174"/>
  <c r="J174"/>
  <c r="D175"/>
  <c r="I175"/>
  <c r="J175"/>
  <c r="D176"/>
  <c r="I176"/>
  <c r="J176"/>
  <c r="D177"/>
  <c r="I177"/>
  <c r="J177"/>
  <c r="D178"/>
  <c r="I178"/>
  <c r="J178"/>
  <c r="D179"/>
  <c r="I179"/>
  <c r="J179"/>
  <c r="D180"/>
  <c r="I180"/>
  <c r="J180"/>
  <c r="D181"/>
  <c r="I181"/>
  <c r="J181"/>
  <c r="D182"/>
  <c r="I182"/>
  <c r="J182"/>
  <c r="D183"/>
  <c r="I183"/>
  <c r="J183"/>
  <c r="D184"/>
  <c r="I184"/>
  <c r="J184"/>
  <c r="D185"/>
  <c r="I185"/>
  <c r="J185"/>
  <c r="D186"/>
  <c r="I186"/>
  <c r="J186"/>
  <c r="D187"/>
  <c r="I187"/>
  <c r="J187"/>
  <c r="D188"/>
  <c r="I188"/>
  <c r="J188"/>
  <c r="D189"/>
  <c r="I189"/>
  <c r="J189"/>
  <c r="D190"/>
  <c r="I190"/>
  <c r="J190"/>
  <c r="D191"/>
  <c r="I191"/>
  <c r="J191"/>
  <c r="D192"/>
  <c r="I192"/>
  <c r="J192"/>
  <c r="D193"/>
  <c r="I193"/>
  <c r="J193"/>
  <c r="D194"/>
  <c r="I194"/>
  <c r="J194"/>
  <c r="D195"/>
  <c r="I195"/>
  <c r="J195"/>
  <c r="D196"/>
  <c r="I196"/>
  <c r="J196"/>
  <c r="D197"/>
  <c r="I197"/>
  <c r="J197"/>
  <c r="D198"/>
  <c r="I198"/>
  <c r="J198"/>
  <c r="D199"/>
  <c r="I199"/>
  <c r="J199"/>
  <c r="D200"/>
  <c r="I200"/>
  <c r="J200"/>
  <c r="D201"/>
  <c r="I201"/>
  <c r="J201"/>
  <c r="D202"/>
  <c r="I202"/>
  <c r="J202"/>
  <c r="D203"/>
  <c r="I203"/>
  <c r="J203"/>
  <c r="D204"/>
  <c r="I204"/>
  <c r="J204"/>
  <c r="D205"/>
  <c r="I205"/>
  <c r="J205"/>
  <c r="D206"/>
  <c r="I206"/>
  <c r="J206"/>
  <c r="D207"/>
  <c r="I207"/>
  <c r="J207"/>
  <c r="D208"/>
  <c r="I208"/>
  <c r="J208"/>
  <c r="D209"/>
  <c r="I209"/>
  <c r="J209"/>
  <c r="D210"/>
  <c r="I210"/>
  <c r="J210"/>
  <c r="D211"/>
  <c r="I211"/>
  <c r="J211"/>
  <c r="D212"/>
  <c r="I212"/>
  <c r="J212"/>
  <c r="D213"/>
  <c r="I213"/>
  <c r="J213"/>
  <c r="D214"/>
  <c r="I214"/>
  <c r="J214"/>
  <c r="D215"/>
  <c r="I215"/>
  <c r="J215"/>
  <c r="D216"/>
  <c r="I216"/>
  <c r="J216"/>
  <c r="D217"/>
  <c r="I217"/>
  <c r="J217"/>
  <c r="D218"/>
  <c r="I218"/>
  <c r="J218"/>
  <c r="D219"/>
  <c r="I219"/>
  <c r="J219"/>
  <c r="D220"/>
  <c r="I220"/>
  <c r="J220"/>
  <c r="D221"/>
  <c r="I221"/>
  <c r="J221"/>
  <c r="D222"/>
  <c r="I222"/>
  <c r="J222"/>
  <c r="D223"/>
  <c r="I223"/>
  <c r="J223"/>
  <c r="D224"/>
  <c r="I224"/>
  <c r="J224"/>
  <c r="D225"/>
  <c r="I225"/>
  <c r="J225"/>
  <c r="D226"/>
  <c r="I226"/>
  <c r="J226"/>
  <c r="D227"/>
  <c r="I227"/>
  <c r="J227"/>
  <c r="D228"/>
  <c r="I228"/>
  <c r="J228"/>
  <c r="D229"/>
  <c r="I229"/>
  <c r="J229"/>
  <c r="D230"/>
  <c r="I230"/>
  <c r="J230"/>
  <c r="D231"/>
  <c r="I231"/>
  <c r="J231"/>
  <c r="D232"/>
  <c r="I232"/>
  <c r="J232"/>
  <c r="D233"/>
  <c r="I233"/>
  <c r="J233"/>
  <c r="D234"/>
  <c r="I234"/>
  <c r="J234"/>
  <c r="D235"/>
  <c r="I235"/>
  <c r="J235"/>
  <c r="D236"/>
  <c r="I236"/>
  <c r="J236"/>
  <c r="D237"/>
  <c r="I237"/>
  <c r="J237"/>
  <c r="D238"/>
  <c r="I238"/>
  <c r="J238"/>
  <c r="D239"/>
  <c r="I239"/>
  <c r="J239"/>
  <c r="D240"/>
  <c r="I240"/>
  <c r="J240"/>
  <c r="D241"/>
  <c r="I241"/>
  <c r="J241"/>
  <c r="D242"/>
  <c r="I242"/>
  <c r="J242"/>
  <c r="D243"/>
  <c r="I243"/>
  <c r="J243"/>
  <c r="D244"/>
  <c r="I244"/>
  <c r="J244"/>
  <c r="D245"/>
  <c r="I245"/>
  <c r="J245"/>
  <c r="D246"/>
  <c r="I246"/>
  <c r="J246"/>
  <c r="D247"/>
  <c r="I247"/>
  <c r="J247"/>
  <c r="D248"/>
  <c r="I248"/>
  <c r="J248"/>
  <c r="D249"/>
  <c r="I249"/>
  <c r="J249"/>
  <c r="D250"/>
  <c r="I250"/>
  <c r="J250"/>
  <c r="D251"/>
  <c r="I251"/>
  <c r="J251"/>
  <c r="D252"/>
  <c r="I252"/>
  <c r="J252"/>
  <c r="D253"/>
  <c r="I253"/>
  <c r="J253"/>
  <c r="D254"/>
  <c r="I254"/>
  <c r="J254"/>
  <c r="D255"/>
  <c r="I255"/>
  <c r="J255"/>
  <c r="D256"/>
  <c r="I256"/>
  <c r="J256"/>
  <c r="D257"/>
  <c r="I257"/>
  <c r="J257"/>
  <c r="D258"/>
  <c r="I258"/>
  <c r="J258"/>
  <c r="D259"/>
  <c r="I259"/>
  <c r="J259"/>
  <c r="D260"/>
  <c r="I260"/>
  <c r="J260"/>
  <c r="D261"/>
  <c r="I261"/>
  <c r="J261"/>
  <c r="D262"/>
  <c r="I262"/>
  <c r="J262"/>
  <c r="D263"/>
  <c r="I263"/>
  <c r="J263"/>
  <c r="D264"/>
  <c r="I264"/>
  <c r="J264"/>
  <c r="D265"/>
  <c r="I265"/>
  <c r="J265"/>
  <c r="D266"/>
  <c r="I266"/>
  <c r="J266"/>
  <c r="D267"/>
  <c r="I267"/>
  <c r="J267"/>
  <c r="D268"/>
  <c r="I268"/>
  <c r="J268"/>
  <c r="D269"/>
  <c r="I269"/>
  <c r="J269"/>
  <c r="D270"/>
  <c r="I270"/>
  <c r="J270"/>
  <c r="D271"/>
  <c r="I271"/>
  <c r="J271"/>
  <c r="D272"/>
  <c r="I272"/>
  <c r="J272"/>
  <c r="D273"/>
  <c r="I273"/>
  <c r="J273"/>
  <c r="D274"/>
  <c r="I274"/>
  <c r="J274"/>
  <c r="D275"/>
  <c r="I275"/>
  <c r="J275"/>
  <c r="D276"/>
  <c r="I276"/>
  <c r="J276"/>
  <c r="D277"/>
  <c r="I277"/>
  <c r="J277"/>
  <c r="D278"/>
  <c r="I278"/>
  <c r="J278"/>
  <c r="D279"/>
  <c r="I279"/>
  <c r="J279"/>
  <c r="D280"/>
  <c r="I280"/>
  <c r="J280"/>
  <c r="D281"/>
  <c r="I281"/>
  <c r="J281"/>
  <c r="D282"/>
  <c r="I282"/>
  <c r="J282"/>
  <c r="D283"/>
  <c r="I283"/>
  <c r="J283"/>
  <c r="D284"/>
  <c r="I284"/>
  <c r="J284"/>
  <c r="D285"/>
  <c r="I285"/>
  <c r="J285"/>
  <c r="D286"/>
  <c r="I286"/>
  <c r="J286"/>
  <c r="D287"/>
  <c r="I287"/>
  <c r="J287"/>
  <c r="D288"/>
  <c r="I288"/>
  <c r="J288"/>
  <c r="D289"/>
  <c r="I289"/>
  <c r="J289"/>
  <c r="D290"/>
  <c r="I290"/>
  <c r="J290"/>
  <c r="D291"/>
  <c r="I291"/>
  <c r="J291"/>
  <c r="D292"/>
  <c r="I292"/>
  <c r="J292"/>
  <c r="D293"/>
  <c r="I293"/>
  <c r="J293"/>
  <c r="D294"/>
  <c r="I294"/>
  <c r="J294"/>
  <c r="D295"/>
  <c r="I295"/>
  <c r="J295"/>
  <c r="D296"/>
  <c r="I296"/>
  <c r="J296"/>
  <c r="D297"/>
  <c r="I297"/>
  <c r="J297"/>
  <c r="D298"/>
  <c r="I298"/>
  <c r="J298"/>
  <c r="D299"/>
  <c r="I299"/>
  <c r="J299"/>
  <c r="D300"/>
  <c r="I300"/>
  <c r="J300"/>
  <c r="D301"/>
  <c r="I301"/>
  <c r="J301"/>
  <c r="D302"/>
  <c r="I302"/>
  <c r="J302"/>
  <c r="D303"/>
  <c r="I303"/>
  <c r="J303"/>
  <c r="D304"/>
  <c r="I304"/>
  <c r="J304"/>
  <c r="D305"/>
  <c r="I305"/>
  <c r="J305"/>
  <c r="D306"/>
  <c r="I306"/>
  <c r="J306"/>
  <c r="D307"/>
  <c r="I307"/>
  <c r="J307"/>
  <c r="D308"/>
  <c r="I308"/>
  <c r="J308"/>
  <c r="D309"/>
  <c r="I309"/>
  <c r="J309"/>
  <c r="D310"/>
  <c r="I310"/>
  <c r="J310"/>
  <c r="D311"/>
  <c r="I311"/>
  <c r="J311"/>
  <c r="D312"/>
  <c r="I312"/>
  <c r="J312"/>
  <c r="D313"/>
  <c r="I313"/>
  <c r="J313"/>
  <c r="D314"/>
  <c r="I314"/>
  <c r="J314"/>
  <c r="D315"/>
  <c r="I315"/>
  <c r="J315"/>
  <c r="D316"/>
  <c r="I316"/>
  <c r="J316"/>
  <c r="D317"/>
  <c r="I317"/>
  <c r="J317"/>
  <c r="D318"/>
  <c r="I318"/>
  <c r="J318"/>
  <c r="D319"/>
  <c r="I319"/>
  <c r="J319"/>
  <c r="D320"/>
  <c r="I320"/>
  <c r="J320"/>
  <c r="D321"/>
  <c r="I321"/>
  <c r="J321"/>
  <c r="D322"/>
  <c r="I322"/>
  <c r="J322"/>
  <c r="D323"/>
  <c r="I323"/>
  <c r="J323"/>
  <c r="D324"/>
  <c r="I324"/>
  <c r="J324"/>
  <c r="D325"/>
  <c r="I325"/>
  <c r="J325"/>
  <c r="D326"/>
  <c r="I326"/>
  <c r="J326"/>
  <c r="D327"/>
  <c r="I327"/>
  <c r="J327"/>
  <c r="D328"/>
  <c r="I328"/>
  <c r="J328"/>
  <c r="D329"/>
  <c r="I329"/>
  <c r="J329"/>
  <c r="D330"/>
  <c r="I330"/>
  <c r="J330"/>
  <c r="D331"/>
  <c r="I331"/>
  <c r="J331"/>
  <c r="D332"/>
  <c r="I332"/>
  <c r="J332"/>
  <c r="D333"/>
  <c r="I333"/>
  <c r="J333"/>
  <c r="D334"/>
  <c r="I334"/>
  <c r="J334"/>
  <c r="D335"/>
  <c r="I335"/>
  <c r="J335"/>
  <c r="D336"/>
  <c r="I336"/>
  <c r="J336"/>
  <c r="D337"/>
  <c r="I337"/>
  <c r="J337"/>
  <c r="D338"/>
  <c r="I338"/>
  <c r="J338"/>
  <c r="D339"/>
  <c r="I339"/>
  <c r="J339"/>
  <c r="D340"/>
  <c r="I340"/>
  <c r="J340"/>
  <c r="D341"/>
  <c r="I341"/>
  <c r="J341"/>
  <c r="D342"/>
  <c r="I342"/>
  <c r="J342"/>
  <c r="D343"/>
  <c r="I343"/>
  <c r="J343"/>
  <c r="D344"/>
  <c r="I344"/>
  <c r="J344"/>
  <c r="D345"/>
  <c r="I345"/>
  <c r="J345"/>
  <c r="D346"/>
  <c r="I346"/>
  <c r="J346"/>
  <c r="D347"/>
  <c r="I347"/>
  <c r="J347"/>
  <c r="D348"/>
  <c r="I348"/>
  <c r="J348"/>
  <c r="D349"/>
  <c r="I349"/>
  <c r="J349"/>
  <c r="D350"/>
  <c r="I350"/>
  <c r="J350"/>
  <c r="D351"/>
  <c r="I351"/>
  <c r="J351"/>
  <c r="D352"/>
  <c r="I352"/>
  <c r="J352"/>
  <c r="D353"/>
  <c r="I353"/>
  <c r="J353"/>
  <c r="D354"/>
  <c r="I354"/>
  <c r="J354"/>
  <c r="D355"/>
  <c r="I355"/>
  <c r="J355"/>
  <c r="D356"/>
  <c r="I356"/>
  <c r="J356"/>
  <c r="D357"/>
  <c r="I357"/>
  <c r="J357"/>
  <c r="D358"/>
  <c r="I358"/>
  <c r="J358"/>
  <c r="D359"/>
  <c r="I359"/>
  <c r="J359"/>
  <c r="D360"/>
  <c r="I360"/>
  <c r="J360"/>
  <c r="D361"/>
  <c r="I361"/>
  <c r="J361"/>
  <c r="D362"/>
  <c r="I362"/>
  <c r="J362"/>
  <c r="D363"/>
  <c r="I363"/>
  <c r="J363"/>
  <c r="D364"/>
  <c r="I364"/>
  <c r="J364"/>
  <c r="D365"/>
  <c r="I365"/>
  <c r="J365"/>
  <c r="D366"/>
  <c r="I366"/>
  <c r="J366"/>
  <c r="D367"/>
  <c r="I367"/>
  <c r="J367"/>
  <c r="D368"/>
  <c r="I368"/>
  <c r="J368"/>
  <c r="D369"/>
  <c r="I369"/>
  <c r="J369"/>
  <c r="D370"/>
  <c r="I370"/>
  <c r="J370"/>
  <c r="D371"/>
  <c r="I371"/>
  <c r="J371"/>
  <c r="D372"/>
  <c r="I372"/>
  <c r="J372"/>
  <c r="D373"/>
  <c r="I373"/>
  <c r="J373"/>
  <c r="D374"/>
  <c r="I374"/>
  <c r="J374"/>
  <c r="D375"/>
  <c r="I375"/>
  <c r="J375"/>
  <c r="D376"/>
  <c r="I376"/>
  <c r="J376"/>
  <c r="D377"/>
  <c r="I377"/>
  <c r="J377"/>
  <c r="D378"/>
  <c r="I378"/>
  <c r="J378"/>
  <c r="D379"/>
  <c r="I379"/>
  <c r="J379"/>
  <c r="D380"/>
  <c r="I380"/>
  <c r="J380"/>
  <c r="D381"/>
  <c r="I381"/>
  <c r="J381"/>
  <c r="D382"/>
  <c r="I382"/>
  <c r="J382"/>
  <c r="D383"/>
  <c r="I383"/>
  <c r="J383"/>
  <c r="D384"/>
  <c r="I384"/>
  <c r="J384"/>
  <c r="D385"/>
  <c r="I385"/>
  <c r="J385"/>
  <c r="D386"/>
  <c r="I386"/>
  <c r="J386"/>
  <c r="D387"/>
  <c r="I387"/>
  <c r="J387"/>
  <c r="D388"/>
  <c r="I388"/>
  <c r="J388"/>
  <c r="D389"/>
  <c r="I389"/>
  <c r="J389"/>
  <c r="D390"/>
  <c r="I390"/>
  <c r="J390"/>
  <c r="D391"/>
  <c r="I391"/>
  <c r="J391"/>
  <c r="D392"/>
  <c r="I392"/>
  <c r="J392"/>
  <c r="D393"/>
  <c r="I393"/>
  <c r="J393"/>
  <c r="D394"/>
  <c r="I394"/>
  <c r="J394"/>
  <c r="D395"/>
  <c r="I395"/>
  <c r="J395"/>
  <c r="D396"/>
  <c r="I396"/>
  <c r="J396"/>
  <c r="D397"/>
  <c r="I397"/>
  <c r="J397"/>
  <c r="D398"/>
  <c r="I398"/>
  <c r="J398"/>
  <c r="D399"/>
  <c r="I399"/>
  <c r="J399"/>
  <c r="D400"/>
  <c r="I400"/>
  <c r="J400"/>
  <c r="D401"/>
  <c r="I401"/>
  <c r="J401"/>
  <c r="D402"/>
  <c r="I402"/>
  <c r="J402"/>
  <c r="D403"/>
  <c r="I403"/>
  <c r="J403"/>
  <c r="D404"/>
  <c r="I404"/>
  <c r="J404"/>
  <c r="D405"/>
  <c r="I405"/>
  <c r="J405"/>
  <c r="D406"/>
  <c r="I406"/>
  <c r="J406"/>
  <c r="D407"/>
  <c r="I407"/>
  <c r="J407"/>
  <c r="D408"/>
  <c r="I408"/>
  <c r="J408"/>
  <c r="D409"/>
  <c r="I409"/>
  <c r="J409"/>
  <c r="D410"/>
  <c r="I410"/>
  <c r="J410"/>
  <c r="D411"/>
  <c r="I411"/>
  <c r="J411"/>
  <c r="D412"/>
  <c r="I412"/>
  <c r="J412"/>
  <c r="D413"/>
  <c r="I413"/>
  <c r="J413"/>
  <c r="D414"/>
  <c r="I414"/>
  <c r="J414"/>
  <c r="D415"/>
  <c r="I415"/>
  <c r="J415"/>
  <c r="D416"/>
  <c r="I416"/>
  <c r="J416"/>
  <c r="D417"/>
  <c r="I417"/>
  <c r="J417"/>
  <c r="D418"/>
  <c r="I418"/>
  <c r="J418"/>
  <c r="D419"/>
  <c r="I419"/>
  <c r="J419"/>
  <c r="D420"/>
  <c r="I420"/>
  <c r="J420"/>
  <c r="D421"/>
  <c r="I421"/>
  <c r="J421"/>
  <c r="D422"/>
  <c r="I422"/>
  <c r="J422"/>
  <c r="D423"/>
  <c r="I423"/>
  <c r="J423"/>
  <c r="D424"/>
  <c r="I424"/>
  <c r="J424"/>
  <c r="D425"/>
  <c r="I425"/>
  <c r="J425"/>
  <c r="D426"/>
  <c r="I426"/>
  <c r="J426"/>
  <c r="D427"/>
  <c r="I427"/>
  <c r="J427"/>
  <c r="D428"/>
  <c r="I428"/>
  <c r="J428"/>
  <c r="D429"/>
  <c r="I429"/>
  <c r="J429"/>
  <c r="D430"/>
  <c r="I430"/>
  <c r="J430"/>
  <c r="D431"/>
  <c r="I431"/>
  <c r="J431"/>
  <c r="D432"/>
  <c r="I432"/>
  <c r="J432"/>
  <c r="D433"/>
  <c r="I433"/>
  <c r="J433"/>
  <c r="D434"/>
  <c r="I434"/>
  <c r="J434"/>
  <c r="D435"/>
  <c r="I435"/>
  <c r="J435"/>
  <c r="D436"/>
  <c r="I436"/>
  <c r="J436"/>
  <c r="D437"/>
  <c r="I437"/>
  <c r="J437"/>
  <c r="D438"/>
  <c r="I438"/>
  <c r="J438"/>
  <c r="D439"/>
  <c r="I439"/>
  <c r="J439"/>
  <c r="D440"/>
  <c r="I440"/>
  <c r="J440"/>
  <c r="D441"/>
  <c r="I441"/>
  <c r="J441"/>
  <c r="D442"/>
  <c r="I442"/>
  <c r="J442"/>
  <c r="D443"/>
  <c r="I443"/>
  <c r="J443"/>
  <c r="D444"/>
  <c r="I444"/>
  <c r="J444"/>
  <c r="D445"/>
  <c r="I445"/>
  <c r="J445"/>
  <c r="D446"/>
  <c r="I446"/>
  <c r="J446"/>
  <c r="D447"/>
  <c r="I447"/>
  <c r="J447"/>
  <c r="D448"/>
  <c r="I448"/>
  <c r="J448"/>
  <c r="D449"/>
  <c r="I449"/>
  <c r="J449"/>
  <c r="D450"/>
  <c r="I450"/>
  <c r="J450"/>
  <c r="D451"/>
  <c r="I451"/>
  <c r="J451"/>
  <c r="D452"/>
  <c r="I452"/>
  <c r="J452"/>
  <c r="D453"/>
  <c r="I453"/>
  <c r="J453"/>
  <c r="D454"/>
  <c r="I454"/>
  <c r="J454"/>
  <c r="D455"/>
  <c r="I455"/>
  <c r="J455"/>
  <c r="D456"/>
  <c r="I456"/>
  <c r="J456"/>
  <c r="D457"/>
  <c r="I457"/>
  <c r="J457"/>
  <c r="D458"/>
  <c r="I458"/>
  <c r="J458"/>
  <c r="D459"/>
  <c r="I459"/>
  <c r="J459"/>
  <c r="D460"/>
  <c r="I460"/>
  <c r="J460"/>
  <c r="D461"/>
  <c r="I461"/>
  <c r="J461"/>
  <c r="D462"/>
  <c r="I462"/>
  <c r="J462"/>
  <c r="D463"/>
  <c r="I463"/>
  <c r="J463"/>
  <c r="D464"/>
  <c r="I464"/>
  <c r="J464"/>
  <c r="D465"/>
  <c r="I465"/>
  <c r="J465"/>
  <c r="D466"/>
  <c r="I466"/>
  <c r="J466"/>
  <c r="D467"/>
  <c r="I467"/>
  <c r="J467"/>
  <c r="D468"/>
  <c r="I468"/>
  <c r="J468"/>
  <c r="D469"/>
  <c r="I469"/>
  <c r="J469"/>
  <c r="D470"/>
  <c r="I470"/>
  <c r="J470"/>
  <c r="D471"/>
  <c r="I471"/>
  <c r="J471"/>
  <c r="D472"/>
  <c r="I472"/>
  <c r="J472"/>
  <c r="D473"/>
  <c r="I473"/>
  <c r="J473"/>
  <c r="D474"/>
  <c r="I474"/>
  <c r="J474"/>
  <c r="D475"/>
  <c r="I475"/>
  <c r="J475"/>
  <c r="D476"/>
  <c r="I476"/>
  <c r="J476"/>
  <c r="D477"/>
  <c r="I477"/>
  <c r="J477"/>
  <c r="D478"/>
  <c r="I478"/>
  <c r="J478"/>
  <c r="D479"/>
  <c r="I479"/>
  <c r="J479"/>
  <c r="D480"/>
  <c r="I480"/>
  <c r="J480"/>
  <c r="D481"/>
  <c r="I481"/>
  <c r="J481"/>
  <c r="D482"/>
  <c r="I482"/>
  <c r="J482"/>
  <c r="D483"/>
  <c r="I483"/>
  <c r="J483"/>
  <c r="D484"/>
  <c r="I484"/>
  <c r="J484"/>
  <c r="D485"/>
  <c r="I485"/>
  <c r="J485"/>
  <c r="D486"/>
  <c r="I486"/>
  <c r="J486"/>
  <c r="D487"/>
  <c r="I487"/>
  <c r="J487"/>
  <c r="D488"/>
  <c r="I488"/>
  <c r="J488"/>
  <c r="D489"/>
  <c r="I489"/>
  <c r="J489"/>
  <c r="D490"/>
  <c r="I490"/>
  <c r="J490"/>
  <c r="D491"/>
  <c r="I491"/>
  <c r="J491"/>
  <c r="D492"/>
  <c r="I492"/>
  <c r="J492"/>
  <c r="D493"/>
  <c r="I493"/>
  <c r="J493"/>
  <c r="D494"/>
  <c r="I494"/>
  <c r="J494"/>
  <c r="D495"/>
  <c r="I495"/>
  <c r="J495"/>
  <c r="D496"/>
  <c r="I496"/>
  <c r="J496"/>
  <c r="D497"/>
  <c r="I497"/>
  <c r="J497"/>
  <c r="D498"/>
  <c r="I498"/>
  <c r="J498"/>
  <c r="D499"/>
  <c r="I499"/>
  <c r="J499"/>
  <c r="D500"/>
  <c r="I500"/>
  <c r="J500"/>
  <c r="D501"/>
  <c r="I501"/>
  <c r="J501"/>
  <c r="D502"/>
  <c r="I502"/>
  <c r="J502"/>
  <c r="D503"/>
  <c r="I503"/>
  <c r="J503"/>
  <c r="D504"/>
  <c r="I504"/>
  <c r="J504"/>
  <c r="D505"/>
  <c r="I505"/>
  <c r="J505"/>
  <c r="D506"/>
  <c r="I506"/>
  <c r="J506"/>
  <c r="D507"/>
  <c r="I507"/>
  <c r="J507"/>
  <c r="D508"/>
  <c r="I508"/>
  <c r="J508"/>
  <c r="D509"/>
  <c r="I509"/>
  <c r="J509"/>
  <c r="D510"/>
  <c r="I510"/>
  <c r="J510"/>
  <c r="D511"/>
  <c r="I511"/>
  <c r="J511"/>
  <c r="D512"/>
  <c r="I512"/>
  <c r="J512"/>
  <c r="D513"/>
  <c r="I513"/>
  <c r="J513"/>
  <c r="D514"/>
  <c r="I514"/>
  <c r="J514"/>
  <c r="D515"/>
  <c r="I515"/>
  <c r="J515"/>
  <c r="D516"/>
  <c r="I516"/>
  <c r="J516"/>
  <c r="D517"/>
  <c r="I517"/>
  <c r="J517"/>
  <c r="D518"/>
  <c r="I518"/>
  <c r="J518"/>
  <c r="D519"/>
  <c r="I519"/>
  <c r="J519"/>
  <c r="D520"/>
  <c r="I520"/>
  <c r="J520"/>
  <c r="D521"/>
  <c r="I521"/>
  <c r="J521"/>
  <c r="D522"/>
  <c r="I522"/>
  <c r="J522"/>
  <c r="D523"/>
  <c r="I523"/>
  <c r="J523"/>
  <c r="D524"/>
  <c r="I524"/>
  <c r="J524"/>
  <c r="D525"/>
  <c r="I525"/>
  <c r="J525"/>
  <c r="D526"/>
  <c r="I526"/>
  <c r="J526"/>
  <c r="D527"/>
  <c r="I527"/>
  <c r="J527"/>
  <c r="D528"/>
  <c r="I528"/>
  <c r="J528"/>
  <c r="D529"/>
  <c r="I529"/>
  <c r="J529"/>
  <c r="D530"/>
  <c r="I530"/>
  <c r="J530"/>
  <c r="D531"/>
  <c r="I531"/>
  <c r="J531"/>
  <c r="D532"/>
  <c r="I532"/>
  <c r="J532"/>
  <c r="D533"/>
  <c r="I533"/>
  <c r="J533"/>
  <c r="D534"/>
  <c r="I534"/>
  <c r="J534"/>
  <c r="D535"/>
  <c r="I535"/>
  <c r="J535"/>
  <c r="D536"/>
  <c r="I536"/>
  <c r="J536"/>
  <c r="D537"/>
  <c r="I537"/>
  <c r="J537"/>
  <c r="D538"/>
  <c r="I538"/>
  <c r="J538"/>
  <c r="D539"/>
  <c r="I539"/>
  <c r="J539"/>
  <c r="D540"/>
  <c r="I540"/>
  <c r="J540"/>
  <c r="D541"/>
  <c r="I541"/>
  <c r="J541"/>
  <c r="D542"/>
  <c r="I542"/>
  <c r="J542"/>
  <c r="D543"/>
  <c r="I543"/>
  <c r="J543"/>
  <c r="D544"/>
  <c r="I544"/>
  <c r="J544"/>
  <c r="D545"/>
  <c r="I545"/>
  <c r="J545"/>
  <c r="D546"/>
  <c r="I546"/>
  <c r="J546"/>
  <c r="D547"/>
  <c r="I547"/>
  <c r="J547"/>
  <c r="D548"/>
  <c r="I548"/>
  <c r="J548"/>
  <c r="D549"/>
  <c r="I549"/>
  <c r="J549"/>
  <c r="D550"/>
  <c r="I550"/>
  <c r="J550"/>
  <c r="D551"/>
  <c r="I551"/>
  <c r="J551"/>
  <c r="D552"/>
  <c r="I552"/>
  <c r="J552"/>
  <c r="D553"/>
  <c r="I553"/>
  <c r="J553"/>
  <c r="D554"/>
  <c r="I554"/>
  <c r="J554"/>
  <c r="D555"/>
  <c r="I555"/>
  <c r="J555"/>
  <c r="D556"/>
  <c r="I556"/>
  <c r="J556"/>
  <c r="D557"/>
  <c r="I557"/>
  <c r="J557"/>
  <c r="D558"/>
  <c r="I558"/>
  <c r="J558"/>
  <c r="D559"/>
  <c r="I559"/>
  <c r="J559"/>
  <c r="D560"/>
  <c r="I560"/>
  <c r="J560"/>
  <c r="D561"/>
  <c r="I561"/>
  <c r="J561"/>
  <c r="D562"/>
  <c r="I562"/>
  <c r="J562"/>
  <c r="D563"/>
  <c r="I563"/>
  <c r="J563"/>
  <c r="D564"/>
  <c r="I564"/>
  <c r="J564"/>
  <c r="D565"/>
  <c r="I565"/>
  <c r="J565"/>
  <c r="D566"/>
  <c r="I566"/>
  <c r="J566"/>
  <c r="D567"/>
  <c r="I567"/>
  <c r="J567"/>
  <c r="D568"/>
  <c r="I568"/>
  <c r="J568"/>
  <c r="D569"/>
  <c r="I569"/>
  <c r="J569"/>
  <c r="D570"/>
  <c r="I570"/>
  <c r="J570"/>
  <c r="D571"/>
  <c r="I571"/>
  <c r="J571"/>
  <c r="D572"/>
  <c r="I572"/>
  <c r="J572"/>
  <c r="D573"/>
  <c r="I573"/>
  <c r="J573"/>
  <c r="D574"/>
  <c r="I574"/>
  <c r="J574"/>
  <c r="D575"/>
  <c r="I575"/>
  <c r="J575"/>
  <c r="D576"/>
  <c r="I576"/>
  <c r="J576"/>
  <c r="D577"/>
  <c r="I577"/>
  <c r="J577"/>
  <c r="D578"/>
  <c r="I578"/>
  <c r="J578"/>
  <c r="D579"/>
  <c r="I579"/>
  <c r="J579"/>
  <c r="D580"/>
  <c r="I580"/>
  <c r="J580"/>
  <c r="D581"/>
  <c r="I581"/>
  <c r="J581"/>
  <c r="D582"/>
  <c r="I582"/>
  <c r="J582"/>
  <c r="D583"/>
  <c r="I583"/>
  <c r="J583"/>
  <c r="D584"/>
  <c r="I584"/>
  <c r="J584"/>
  <c r="D585"/>
  <c r="I585"/>
  <c r="J585"/>
  <c r="D586"/>
  <c r="I586"/>
  <c r="J586"/>
  <c r="D587"/>
  <c r="I587"/>
  <c r="J587"/>
  <c r="D588"/>
  <c r="I588"/>
  <c r="J588"/>
  <c r="D589"/>
  <c r="I589"/>
  <c r="J589"/>
  <c r="D590"/>
  <c r="I590"/>
  <c r="J590"/>
  <c r="D591"/>
  <c r="I591"/>
  <c r="J591"/>
  <c r="D592"/>
  <c r="I592"/>
  <c r="J592"/>
  <c r="D593"/>
  <c r="I593"/>
  <c r="J593"/>
  <c r="D594"/>
  <c r="I594"/>
  <c r="J594"/>
  <c r="D595"/>
  <c r="I595"/>
  <c r="J595"/>
  <c r="D596"/>
  <c r="I596"/>
  <c r="J596"/>
  <c r="D597"/>
  <c r="I597"/>
  <c r="J597"/>
  <c r="D598"/>
  <c r="I598"/>
  <c r="J598"/>
  <c r="D599"/>
  <c r="I599"/>
  <c r="J599"/>
  <c r="D600"/>
  <c r="I600"/>
  <c r="J600"/>
  <c r="D601"/>
  <c r="I601"/>
  <c r="J601"/>
  <c r="D602"/>
  <c r="I602"/>
  <c r="J602"/>
  <c r="D603"/>
  <c r="I603"/>
  <c r="J603"/>
  <c r="D604"/>
  <c r="I604"/>
  <c r="J604"/>
  <c r="D605"/>
  <c r="I605"/>
  <c r="J605"/>
  <c r="D606"/>
  <c r="I606"/>
  <c r="J606"/>
  <c r="D607"/>
  <c r="I607"/>
  <c r="J607"/>
  <c r="D608"/>
  <c r="I608"/>
  <c r="J608"/>
  <c r="D609"/>
  <c r="I609"/>
  <c r="J609"/>
  <c r="D610"/>
  <c r="I610"/>
  <c r="J610"/>
  <c r="D611"/>
  <c r="I611"/>
  <c r="J611"/>
  <c r="D612"/>
  <c r="I612"/>
  <c r="J612"/>
  <c r="D613"/>
  <c r="I613"/>
  <c r="J613"/>
  <c r="D614"/>
  <c r="I614"/>
  <c r="J614"/>
  <c r="D615"/>
  <c r="I615"/>
  <c r="J615"/>
  <c r="D616"/>
  <c r="I616"/>
  <c r="J616"/>
  <c r="D617"/>
  <c r="I617"/>
  <c r="J617"/>
  <c r="D618"/>
  <c r="I618"/>
  <c r="J618"/>
  <c r="D619"/>
  <c r="I619"/>
  <c r="J619"/>
  <c r="D620"/>
  <c r="I620"/>
  <c r="J620"/>
  <c r="D621"/>
  <c r="I621"/>
  <c r="J621"/>
  <c r="D622"/>
  <c r="I622"/>
  <c r="J622"/>
  <c r="D623"/>
  <c r="I623"/>
  <c r="J623"/>
  <c r="D624"/>
  <c r="I624"/>
  <c r="J624"/>
  <c r="D625"/>
  <c r="I625"/>
  <c r="J625"/>
  <c r="D626"/>
  <c r="I626"/>
  <c r="J626"/>
  <c r="D627"/>
  <c r="I627"/>
  <c r="J627"/>
  <c r="D628"/>
  <c r="I628"/>
  <c r="J628"/>
  <c r="D629"/>
  <c r="I629"/>
  <c r="J629"/>
  <c r="D630"/>
  <c r="I630"/>
  <c r="J630"/>
  <c r="D631"/>
  <c r="I631"/>
  <c r="J631"/>
  <c r="D632"/>
  <c r="I632"/>
  <c r="J632"/>
  <c r="D633"/>
  <c r="I633"/>
  <c r="J633"/>
  <c r="D634"/>
  <c r="I634"/>
  <c r="J634"/>
  <c r="D635"/>
  <c r="I635"/>
  <c r="J635"/>
  <c r="D636"/>
  <c r="I636"/>
  <c r="J636"/>
  <c r="D637"/>
  <c r="I637"/>
  <c r="J637"/>
  <c r="D638"/>
  <c r="I638"/>
  <c r="J638"/>
  <c r="D639"/>
  <c r="I639"/>
  <c r="J639"/>
  <c r="D640"/>
  <c r="I640"/>
  <c r="J640"/>
  <c r="D641"/>
  <c r="I641"/>
  <c r="J641"/>
  <c r="D642"/>
  <c r="I642"/>
  <c r="J642"/>
  <c r="D643"/>
  <c r="I643"/>
  <c r="J643"/>
  <c r="D644"/>
  <c r="I644"/>
  <c r="J644"/>
  <c r="D645"/>
  <c r="I645"/>
  <c r="J645"/>
  <c r="D646"/>
  <c r="I646"/>
  <c r="J646"/>
  <c r="D647"/>
  <c r="I647"/>
  <c r="J647"/>
  <c r="D648"/>
  <c r="I648"/>
  <c r="J648"/>
  <c r="D649"/>
  <c r="I649"/>
  <c r="J649"/>
  <c r="D650"/>
  <c r="I650"/>
  <c r="J650"/>
  <c r="D651"/>
  <c r="I651"/>
  <c r="J651"/>
  <c r="D652"/>
  <c r="I652"/>
  <c r="J652"/>
  <c r="D653"/>
  <c r="I653"/>
  <c r="J653"/>
  <c r="D654"/>
  <c r="I654"/>
  <c r="J654"/>
  <c r="D655"/>
  <c r="I655"/>
  <c r="J655"/>
  <c r="D656"/>
  <c r="I656"/>
  <c r="J656"/>
  <c r="D657"/>
  <c r="I657"/>
  <c r="J657"/>
  <c r="D658"/>
  <c r="I658"/>
  <c r="J658"/>
  <c r="D659"/>
  <c r="I659"/>
  <c r="J659"/>
  <c r="D660"/>
  <c r="I660"/>
  <c r="J660"/>
  <c r="D661"/>
  <c r="I661"/>
  <c r="J661"/>
  <c r="D662"/>
  <c r="I662"/>
  <c r="J662"/>
  <c r="D663"/>
  <c r="I663"/>
  <c r="J663"/>
  <c r="D664"/>
  <c r="I664"/>
  <c r="J664"/>
  <c r="D665"/>
  <c r="I665"/>
  <c r="J665"/>
  <c r="D666"/>
  <c r="I666"/>
  <c r="J666"/>
  <c r="D667"/>
  <c r="I667"/>
  <c r="J667"/>
  <c r="D668"/>
  <c r="I668"/>
  <c r="J668"/>
  <c r="D669"/>
  <c r="I669"/>
  <c r="J669"/>
  <c r="D670"/>
  <c r="I670"/>
  <c r="J670"/>
  <c r="D671"/>
  <c r="I671"/>
  <c r="J671"/>
  <c r="D672"/>
  <c r="I672"/>
  <c r="J672"/>
  <c r="D673"/>
  <c r="I673"/>
  <c r="J673"/>
  <c r="D674"/>
  <c r="I674"/>
  <c r="J674"/>
  <c r="D675"/>
  <c r="I675"/>
  <c r="J675"/>
  <c r="D676"/>
  <c r="I676"/>
  <c r="J676"/>
  <c r="D677"/>
  <c r="I677"/>
  <c r="J677"/>
  <c r="D678"/>
  <c r="I678"/>
  <c r="J678"/>
  <c r="D679"/>
  <c r="I679"/>
  <c r="J679"/>
  <c r="D680"/>
  <c r="I680"/>
  <c r="J680"/>
  <c r="D681"/>
  <c r="I681"/>
  <c r="J681"/>
  <c r="D682"/>
  <c r="I682"/>
  <c r="J682"/>
  <c r="D683"/>
  <c r="I683"/>
  <c r="J683"/>
  <c r="D684"/>
  <c r="I684"/>
  <c r="J684"/>
  <c r="D685"/>
  <c r="I685"/>
  <c r="J685"/>
  <c r="D686"/>
  <c r="I686"/>
  <c r="J686"/>
  <c r="D687"/>
  <c r="I687"/>
  <c r="J687"/>
  <c r="D688"/>
  <c r="I688"/>
  <c r="J688"/>
  <c r="D689"/>
  <c r="I689"/>
  <c r="J689"/>
  <c r="D690"/>
  <c r="I690"/>
  <c r="J690"/>
  <c r="D691"/>
  <c r="I691"/>
  <c r="J691"/>
  <c r="D692"/>
  <c r="I692"/>
  <c r="J692"/>
  <c r="D693"/>
  <c r="I693"/>
  <c r="J693"/>
  <c r="D694"/>
  <c r="I694"/>
  <c r="J694"/>
  <c r="D695"/>
  <c r="I695"/>
  <c r="J695"/>
  <c r="D696"/>
  <c r="I696"/>
  <c r="J696"/>
  <c r="D697"/>
  <c r="I697"/>
  <c r="J697"/>
  <c r="D698"/>
  <c r="I698"/>
  <c r="J698"/>
  <c r="D699"/>
  <c r="I699"/>
  <c r="J699"/>
  <c r="D700"/>
  <c r="I700"/>
  <c r="J700"/>
  <c r="D701"/>
  <c r="I701"/>
  <c r="J701"/>
  <c r="D702"/>
  <c r="I702"/>
  <c r="J702"/>
  <c r="D703"/>
  <c r="I703"/>
  <c r="J703"/>
  <c r="D704"/>
  <c r="I704"/>
  <c r="J704"/>
  <c r="D705"/>
  <c r="I705"/>
  <c r="J705"/>
  <c r="D706"/>
  <c r="I706"/>
  <c r="J706"/>
  <c r="D707"/>
  <c r="I707"/>
  <c r="J707"/>
  <c r="D708"/>
  <c r="I708"/>
  <c r="J708"/>
  <c r="D709"/>
  <c r="I709"/>
  <c r="J709"/>
  <c r="D710"/>
  <c r="I710"/>
  <c r="J710"/>
  <c r="D711"/>
  <c r="I711"/>
  <c r="J711"/>
  <c r="D712"/>
  <c r="I712"/>
  <c r="J712"/>
  <c r="D713"/>
  <c r="I713"/>
  <c r="J713"/>
  <c r="D714"/>
  <c r="I714"/>
  <c r="J714"/>
  <c r="D715"/>
  <c r="I715"/>
  <c r="J715"/>
  <c r="D716"/>
  <c r="I716"/>
  <c r="J716"/>
  <c r="D717"/>
  <c r="I717"/>
  <c r="J717"/>
  <c r="D718"/>
  <c r="I718"/>
  <c r="J718"/>
  <c r="D719"/>
  <c r="I719"/>
  <c r="J719"/>
  <c r="D720"/>
  <c r="I720"/>
  <c r="J720"/>
  <c r="D721"/>
  <c r="I721"/>
  <c r="J721"/>
  <c r="D722"/>
  <c r="I722"/>
  <c r="J722"/>
  <c r="D723"/>
  <c r="I723"/>
  <c r="J723"/>
  <c r="D724"/>
  <c r="I724"/>
  <c r="J724"/>
  <c r="D725"/>
  <c r="I725"/>
  <c r="J725"/>
  <c r="D726"/>
  <c r="I726"/>
  <c r="J726"/>
  <c r="D727"/>
  <c r="I727"/>
  <c r="J727"/>
  <c r="D728"/>
  <c r="I728"/>
  <c r="J728"/>
  <c r="D729"/>
  <c r="I729"/>
  <c r="J729"/>
  <c r="D730"/>
  <c r="I730"/>
  <c r="J730"/>
  <c r="D731"/>
  <c r="I731"/>
  <c r="J731"/>
  <c r="D732"/>
  <c r="I732"/>
  <c r="J732"/>
  <c r="D733"/>
  <c r="I733"/>
  <c r="J733"/>
  <c r="D734"/>
  <c r="I734"/>
  <c r="J734"/>
  <c r="D735"/>
  <c r="I735"/>
  <c r="J735"/>
  <c r="D736"/>
  <c r="I736"/>
  <c r="J736"/>
  <c r="D737"/>
  <c r="I737"/>
  <c r="J737"/>
  <c r="D738"/>
  <c r="I738"/>
  <c r="J738"/>
  <c r="D739"/>
  <c r="I739"/>
  <c r="J739"/>
  <c r="D740"/>
  <c r="I740"/>
  <c r="J740"/>
  <c r="D741"/>
  <c r="I741"/>
  <c r="J741"/>
  <c r="D742"/>
  <c r="I742"/>
  <c r="J742"/>
  <c r="D743"/>
  <c r="I743"/>
  <c r="J743"/>
  <c r="D744"/>
  <c r="I744"/>
  <c r="J744"/>
  <c r="D745"/>
  <c r="I745"/>
  <c r="J745"/>
  <c r="D746"/>
  <c r="I746"/>
  <c r="J746"/>
  <c r="D747"/>
  <c r="I747"/>
  <c r="J747"/>
  <c r="D748"/>
  <c r="I748"/>
  <c r="J748"/>
  <c r="D749"/>
  <c r="I749"/>
  <c r="J749"/>
  <c r="D750"/>
  <c r="I750"/>
  <c r="J750"/>
  <c r="D751"/>
  <c r="I751"/>
  <c r="J751"/>
  <c r="D752"/>
  <c r="I752"/>
  <c r="J752"/>
  <c r="D753"/>
  <c r="I753"/>
  <c r="J753"/>
  <c r="D754"/>
  <c r="I754"/>
  <c r="J754"/>
  <c r="D755"/>
  <c r="I755"/>
  <c r="J755"/>
  <c r="D756"/>
  <c r="I756"/>
  <c r="J756"/>
  <c r="D757"/>
  <c r="I757"/>
  <c r="J757"/>
  <c r="D758"/>
  <c r="I758"/>
  <c r="J758"/>
  <c r="D759"/>
  <c r="I759"/>
  <c r="J759"/>
  <c r="D760"/>
  <c r="I760"/>
  <c r="J760"/>
  <c r="D761"/>
  <c r="I761"/>
  <c r="J761"/>
  <c r="D762"/>
  <c r="I762"/>
  <c r="J762"/>
  <c r="D763"/>
  <c r="I763"/>
  <c r="J763"/>
  <c r="D764"/>
  <c r="I764"/>
  <c r="J764"/>
  <c r="D765"/>
  <c r="I765"/>
  <c r="J765"/>
  <c r="D766"/>
  <c r="I766"/>
  <c r="J766"/>
</calcChain>
</file>

<file path=xl/sharedStrings.xml><?xml version="1.0" encoding="utf-8"?>
<sst xmlns="http://schemas.openxmlformats.org/spreadsheetml/2006/main" count="5366" uniqueCount="2958">
  <si>
    <t>Codice</t>
  </si>
  <si>
    <t>Ragione Sociale</t>
  </si>
  <si>
    <t>Indirizzo</t>
  </si>
  <si>
    <t>Cap</t>
  </si>
  <si>
    <t>Citta</t>
  </si>
  <si>
    <t>Provincia</t>
  </si>
  <si>
    <t>Regione</t>
  </si>
  <si>
    <t>Area</t>
  </si>
  <si>
    <t>Numero_Telefono</t>
  </si>
  <si>
    <t>Numero_Fax</t>
  </si>
  <si>
    <t>EMail PDV</t>
  </si>
  <si>
    <t>GRUPPO BUFFETTI SPA</t>
  </si>
  <si>
    <t>CORSO SIRACUSA 141</t>
  </si>
  <si>
    <t>TORINO</t>
  </si>
  <si>
    <t>TO</t>
  </si>
  <si>
    <t>01 - Piemonte</t>
  </si>
  <si>
    <t>NR - Nord</t>
  </si>
  <si>
    <t>bplace1@buffetti.it</t>
  </si>
  <si>
    <t>ROMA</t>
  </si>
  <si>
    <t>RM</t>
  </si>
  <si>
    <t>12 - Lazio</t>
  </si>
  <si>
    <t>CE - Centro</t>
  </si>
  <si>
    <t>BIANCHI SRL</t>
  </si>
  <si>
    <t>VIA DOMENICO FIGINI 9</t>
  </si>
  <si>
    <t>NOVI LIGURE</t>
  </si>
  <si>
    <t>AL</t>
  </si>
  <si>
    <t>cartbianchi@libero.it</t>
  </si>
  <si>
    <t>SOMMA SNC DI PORATA MARIO &amp; C.</t>
  </si>
  <si>
    <t>VIA LIUTPRANDO, 2</t>
  </si>
  <si>
    <t>CASALE MONFERRATO</t>
  </si>
  <si>
    <t>gpentor@tin.it</t>
  </si>
  <si>
    <t>MARINELLI SNC DI CAUCINO LIBERO &amp; C.</t>
  </si>
  <si>
    <t>VIA NIZZA 133</t>
  </si>
  <si>
    <t>ACQUI TERME</t>
  </si>
  <si>
    <t>segreteria@marinellisnc.it</t>
  </si>
  <si>
    <t>HIRUNDO SNC DI CARBONE M. &amp; STIRANO A.</t>
  </si>
  <si>
    <t>VIA EMILIA, 22</t>
  </si>
  <si>
    <t>TORTONA</t>
  </si>
  <si>
    <t>hirundosnc@gmail.com</t>
  </si>
  <si>
    <t>PIAZZA SAN SECONDO, 17</t>
  </si>
  <si>
    <t>ASTI</t>
  </si>
  <si>
    <t>AT</t>
  </si>
  <si>
    <t>MASTER SCUOLA UFFICIO SNC</t>
  </si>
  <si>
    <t>VIALE  INDIPENDENZA  48</t>
  </si>
  <si>
    <t>CANELLI</t>
  </si>
  <si>
    <t>info@masterscuolaufficio.it</t>
  </si>
  <si>
    <t>CORSO ALESSANDRIA, 91</t>
  </si>
  <si>
    <t>LINEA UFFICIO DI MASSIGNAN LUCIA &amp; C.   S.N.C.</t>
  </si>
  <si>
    <t>CORSO BATTAGLIONE AOSTA, 87</t>
  </si>
  <si>
    <t>AOSTA</t>
  </si>
  <si>
    <t>AO</t>
  </si>
  <si>
    <t>02 - Val d'Aosta</t>
  </si>
  <si>
    <t>info@lineaufficioaosta.it</t>
  </si>
  <si>
    <t>KAIROS SRL</t>
  </si>
  <si>
    <t>VIA ANDREA COSTA, 16</t>
  </si>
  <si>
    <t>NOVARA</t>
  </si>
  <si>
    <t>NO</t>
  </si>
  <si>
    <t>info@kairosnovara.it</t>
  </si>
  <si>
    <t>TUTTUFFICIO SNC DI PASTORELLI F. &amp; MARINZI L</t>
  </si>
  <si>
    <t>CORSO ROMA, 139 /M</t>
  </si>
  <si>
    <t>GRAVELLONA TOCE</t>
  </si>
  <si>
    <t>VB</t>
  </si>
  <si>
    <t>tuttufficio.gt@tiscali.it</t>
  </si>
  <si>
    <t>SI</t>
  </si>
  <si>
    <t>FUTUROFFICE SAS DI RIZZITANO C &amp; C</t>
  </si>
  <si>
    <t>VIA PIAVE, 5</t>
  </si>
  <si>
    <t>PIANEZZA</t>
  </si>
  <si>
    <t>futurmail@futuroffice.it</t>
  </si>
  <si>
    <t>MODULO GAMMA SNC DI VILLANIS GABRIELLA E BARBARA</t>
  </si>
  <si>
    <t>VIA XXIV MAGGIO 2</t>
  </si>
  <si>
    <t>CUORGNE'</t>
  </si>
  <si>
    <t>modulogamma@tin.it</t>
  </si>
  <si>
    <t>GATTI SAS DI GRAZIANO LUCA &amp; C.</t>
  </si>
  <si>
    <t>VIA DEL COLLEGIO, 11/A</t>
  </si>
  <si>
    <t>CHIVASSO</t>
  </si>
  <si>
    <t>gatti@gattiweb.it</t>
  </si>
  <si>
    <t>MODULO GAMMA 2 SNC DI LEISS CHARLES &amp; C.</t>
  </si>
  <si>
    <t>VIA ROBASSOMERO 30</t>
  </si>
  <si>
    <t>CIRIE'</t>
  </si>
  <si>
    <t>c.leiss@modulogamma2.191.it</t>
  </si>
  <si>
    <t>RI.AN. TRENTINO SRL</t>
  </si>
  <si>
    <t>VIALE ROMA, 14</t>
  </si>
  <si>
    <t>AVIGLIANA</t>
  </si>
  <si>
    <t>riansnc@riansnc.191.it</t>
  </si>
  <si>
    <t>SINTEL UFFICIO DI BRERO GIANMICHELE &amp; C. SAS</t>
  </si>
  <si>
    <t>CORSO MATTEOTTI 10 /C</t>
  </si>
  <si>
    <t>VENARIA REALE</t>
  </si>
  <si>
    <t>sintelufficio@tin.it</t>
  </si>
  <si>
    <t>ANALISI UFFICIO SNC DI BARILLARO R. &amp; GRANATO D.</t>
  </si>
  <si>
    <t>VIA MADAMA CRISTINA 77 /A</t>
  </si>
  <si>
    <t>buffetti0533@tin.it</t>
  </si>
  <si>
    <t>TOP OFFICE SNC DI TRENTINO ANTONIO &amp; C.</t>
  </si>
  <si>
    <t>PIAZZA LORENZO BERNINI, 11 /D</t>
  </si>
  <si>
    <t>topoffice-snc@libero.it</t>
  </si>
  <si>
    <t>LA CROCETTA SRL</t>
  </si>
  <si>
    <t>VIA PIAZZI, 54-G</t>
  </si>
  <si>
    <t>info@lacrocetta.com</t>
  </si>
  <si>
    <t>DIMENSIONE UFFICIO DI MOLINATTI ROBERTO</t>
  </si>
  <si>
    <t>VIA SAN FRANCESCO DI SALES, 78</t>
  </si>
  <si>
    <t>CARMAGNOLA</t>
  </si>
  <si>
    <t>dimufficio@pro-logic.it</t>
  </si>
  <si>
    <t>LINEA UFFICIO SAS DI ULIGINI SILVIA &amp; C.</t>
  </si>
  <si>
    <t>VIA GIACOSA, 3</t>
  </si>
  <si>
    <t>RIVAROLO CANAVESE</t>
  </si>
  <si>
    <t>silvia.uligini@tin.it</t>
  </si>
  <si>
    <t>CORSO VITTORIO SRL</t>
  </si>
  <si>
    <t>CORSO VITTORIO EMANUELE II 70</t>
  </si>
  <si>
    <t>logistica@corsovittorio.com</t>
  </si>
  <si>
    <t>GRUPPO CERUTTI SRL</t>
  </si>
  <si>
    <t>VIA CARMAGNOLA   47</t>
  </si>
  <si>
    <t>PINEROLO</t>
  </si>
  <si>
    <t>marialuisa.dimatteo@gruppocerutti.it</t>
  </si>
  <si>
    <t>CITY OFFICE  SNC DI PIZZIMENTI FRANCESCO E MASSIMO</t>
  </si>
  <si>
    <t>CORSO PESCHIERA 164</t>
  </si>
  <si>
    <t>cityoffice@inwind.it</t>
  </si>
  <si>
    <t>SERVIZI CONTABILI SNC DI FENINNO LUIGI &amp; C.</t>
  </si>
  <si>
    <t>CORSO GIULIO CESARE 184</t>
  </si>
  <si>
    <t>578@gruppobuffetti.it</t>
  </si>
  <si>
    <t>MENSIO SNC</t>
  </si>
  <si>
    <t>CORSO FRANCIA, 125</t>
  </si>
  <si>
    <t>COLLEGNO</t>
  </si>
  <si>
    <t>mensiosnc@libero.it</t>
  </si>
  <si>
    <t>BSC DIRECT DI RICCARDO BOSCHIS</t>
  </si>
  <si>
    <t>CORSO POTENZA, 173/B</t>
  </si>
  <si>
    <t>riboschis@yahoo.it</t>
  </si>
  <si>
    <t>FUSA DI ARIANO GIORGIO</t>
  </si>
  <si>
    <t>VIA MONTE DI PIETÀ, 16/D</t>
  </si>
  <si>
    <t>amministrazione@cancelleriafusatorino.it</t>
  </si>
  <si>
    <t>ORIGINAL OFFICE SNC DI ROSETTA BRANCA &amp; C.</t>
  </si>
  <si>
    <t>VIALE EUROPA 42 /A</t>
  </si>
  <si>
    <t>LEINI</t>
  </si>
  <si>
    <t>buffetti@originaloffice.it</t>
  </si>
  <si>
    <t>CENTRO UFFICI DI MAGNAGUAGNO E &amp; C. SAS</t>
  </si>
  <si>
    <t>VIA REGIO PARCO, 53 /A</t>
  </si>
  <si>
    <t>SETTIMO TORINESE</t>
  </si>
  <si>
    <t>589@gruppobuffetti.it</t>
  </si>
  <si>
    <t>VIA GOZZANO, 68</t>
  </si>
  <si>
    <t>IVREA</t>
  </si>
  <si>
    <t>buffetti.ivrea@originaloffice.it</t>
  </si>
  <si>
    <t>ZENONE SAS DI ZENONE DARIO &amp; C.</t>
  </si>
  <si>
    <t>VIA LANZO, 125D</t>
  </si>
  <si>
    <t>BORGARO TORINESE</t>
  </si>
  <si>
    <t>zenone.buffetti@hotmail.it</t>
  </si>
  <si>
    <t>CARTOPOINT  SRL</t>
  </si>
  <si>
    <t>CORSO G. AGNELLI, 18</t>
  </si>
  <si>
    <t>cartopointstadio@gmail.com</t>
  </si>
  <si>
    <t>VIA LUIGI CIBRARIO, 33</t>
  </si>
  <si>
    <t>cartopointcibrario@gmail.com</t>
  </si>
  <si>
    <t>BLUCART DI ROBERTO CREMILLI</t>
  </si>
  <si>
    <t>STRADA GENOVA, 45BIS</t>
  </si>
  <si>
    <t>MONCALIERI</t>
  </si>
  <si>
    <t>info@blucart.it</t>
  </si>
  <si>
    <t>ELLEBI DI INSABELLA LAURA</t>
  </si>
  <si>
    <t>VIA ROMA, 8</t>
  </si>
  <si>
    <t>CHIERI</t>
  </si>
  <si>
    <t>ellebichieri@outlook.it</t>
  </si>
  <si>
    <t>L'UFFICIO MODERNO DI NEGRI SAVINA</t>
  </si>
  <si>
    <t>VIA VITTORIO VENETO, 78</t>
  </si>
  <si>
    <t>BORGOSESIA</t>
  </si>
  <si>
    <t>VC</t>
  </si>
  <si>
    <t>savnegri@yahoo.it</t>
  </si>
  <si>
    <t>TECNUFFICIO SNC DI CENCINI ARMANDO E C.</t>
  </si>
  <si>
    <t>VIA MERCATO, 26</t>
  </si>
  <si>
    <t>COSSATO</t>
  </si>
  <si>
    <t>BI</t>
  </si>
  <si>
    <t>nubeche@tiscali.it</t>
  </si>
  <si>
    <t>L'EQUIPE D'UFFICIO SNC DI FAVA DANIELA E C.</t>
  </si>
  <si>
    <t>VIA VERDI, 39</t>
  </si>
  <si>
    <t>VERCELLI</t>
  </si>
  <si>
    <t>equipeufficio@virgilio.it</t>
  </si>
  <si>
    <t>UFFICIO PIU'2 SRL</t>
  </si>
  <si>
    <t>VIA FRATELLI ROSSELLI 35</t>
  </si>
  <si>
    <t>BIELLA</t>
  </si>
  <si>
    <t>ufficiopiusrl2@alice.it</t>
  </si>
  <si>
    <t>ZETAPI SNC DI ZEGGIO PAMELA E PIGNOLO MARISA</t>
  </si>
  <si>
    <t>CORSO GARIBALDI, 143</t>
  </si>
  <si>
    <t>GATTINARA</t>
  </si>
  <si>
    <t>pamela.zeggio@virgilio.it</t>
  </si>
  <si>
    <t>LF OFFICE SNC DI PASTERIS L. E GILI F.</t>
  </si>
  <si>
    <t>PIAZZA ALDO MORO, 13</t>
  </si>
  <si>
    <t>SANTHIA'</t>
  </si>
  <si>
    <t>lfoffice2019@gmail.com</t>
  </si>
  <si>
    <t>S.A.U. DI COSTANTINO GIOVANNA &amp; C. S.A.S</t>
  </si>
  <si>
    <t>VIA MARCONI, 98</t>
  </si>
  <si>
    <t>FOSSANO</t>
  </si>
  <si>
    <t>CN</t>
  </si>
  <si>
    <t>sausnc@virgilio.it</t>
  </si>
  <si>
    <t>DIDATTICA NUOVA SNC DI SABENA PIERINO &amp; C</t>
  </si>
  <si>
    <t>VIA MARTIRI DELLA LIBERAZIONE 66</t>
  </si>
  <si>
    <t>SALUZZO</t>
  </si>
  <si>
    <t>didatticanuova@libero.it</t>
  </si>
  <si>
    <t>UFFICIO MODERNO SNC DI AVAGNINA ANNA E GATTO ANDREA</t>
  </si>
  <si>
    <t>VIA DEGLI ARTIGIANI, 6</t>
  </si>
  <si>
    <t>MONDOVI'</t>
  </si>
  <si>
    <t>info@cartolibreriaufficio.it</t>
  </si>
  <si>
    <t>IL PUNTO CONTABILE SNC DI RIGALDO ANDREA E DAVIDE</t>
  </si>
  <si>
    <t>VIA EINAUDI, 12</t>
  </si>
  <si>
    <t>CUNEO</t>
  </si>
  <si>
    <t>711@gruppobuffetti.it</t>
  </si>
  <si>
    <t>MNM SAS DI SOLLAZZO ANTONIETTA &amp; C.</t>
  </si>
  <si>
    <t>VIA MACRA, 19</t>
  </si>
  <si>
    <t>SAVIGLIANO</t>
  </si>
  <si>
    <t>commerciale@emmenemme.com</t>
  </si>
  <si>
    <t>RINNOVA DI STASSI FRANCESCA SAS</t>
  </si>
  <si>
    <t>CN - Centro Nord</t>
  </si>
  <si>
    <t>INFO@BUFFETTISAVIGLIANO.COM</t>
  </si>
  <si>
    <t>SCUOLA E UFFICIO SRL</t>
  </si>
  <si>
    <t>VIA CARLO EMANUELE III, 15</t>
  </si>
  <si>
    <t>gianni.dellerba@tin.it</t>
  </si>
  <si>
    <t>M.B.F. SNC DI SCANAVINO F. E M.</t>
  </si>
  <si>
    <t>CORSO TORINO, 12/C</t>
  </si>
  <si>
    <t>ALBA</t>
  </si>
  <si>
    <t>mbfsnc@tin.it</t>
  </si>
  <si>
    <t>MONDO UFFICIO SRL</t>
  </si>
  <si>
    <t>P.LE DONNINO RUMI, 17</t>
  </si>
  <si>
    <t>ALMENNO SAN BARTOLOMEO</t>
  </si>
  <si>
    <t>BG</t>
  </si>
  <si>
    <t>03 - Lombardia</t>
  </si>
  <si>
    <t>info@mondoufficiobg.it</t>
  </si>
  <si>
    <t>LIBRERIA AMMINISTRATIVA  S.A.S. DI COLLEONI PIER ANTONIO E C.</t>
  </si>
  <si>
    <t>Via Provinciale, 66</t>
  </si>
  <si>
    <t>ALBINO</t>
  </si>
  <si>
    <t>info@libreriaamministrativa.it</t>
  </si>
  <si>
    <t>IDEA UFFICIO SRL</t>
  </si>
  <si>
    <t>VIA XXV APRILE, 6</t>
  </si>
  <si>
    <t>VILLONGO</t>
  </si>
  <si>
    <t>info@ideaufficio.bg.it</t>
  </si>
  <si>
    <t>MEDIA UFFICIO &amp; ASSOCIATI SRL</t>
  </si>
  <si>
    <t>VIA PRIMO MAGGIO, 3</t>
  </si>
  <si>
    <t>GORLAGO</t>
  </si>
  <si>
    <t>info@mediaufficio.com</t>
  </si>
  <si>
    <t>N.GHEZA MATIC SRL</t>
  </si>
  <si>
    <t>VIA NAZIONALE, 118</t>
  </si>
  <si>
    <t>COSTA VOLPINO</t>
  </si>
  <si>
    <t>costa@ghezamatic.it</t>
  </si>
  <si>
    <t>L'INFORMATICA SNC DI GIUDICI MARIO &amp; C.</t>
  </si>
  <si>
    <t>VIA SANT'ALESSANDRO, 38</t>
  </si>
  <si>
    <t>CLUSONE</t>
  </si>
  <si>
    <t>info@linformatica.it</t>
  </si>
  <si>
    <t>LINEA UFFICIO SAS DI SCARFO' ANTONELLA &amp; C.</t>
  </si>
  <si>
    <t>VIA GARAVELLI 21</t>
  </si>
  <si>
    <t>ROMANO DI LOMBARDIA</t>
  </si>
  <si>
    <t>lineaufficioromano@tin.it</t>
  </si>
  <si>
    <t>IL PUNTO CONTABILE SAS DI ABBIATI ALESSANDRO E C.</t>
  </si>
  <si>
    <t>VIA U. NOBILE 135 /E</t>
  </si>
  <si>
    <t>URGNANO</t>
  </si>
  <si>
    <t>puntocontabile@sferanet.it</t>
  </si>
  <si>
    <t>UFFICIO MODERNO SRL</t>
  </si>
  <si>
    <t>VIA MAURO CODUSSI, 19</t>
  </si>
  <si>
    <t>BERGAMO</t>
  </si>
  <si>
    <t>info@ufficiomoderno.bg.it</t>
  </si>
  <si>
    <t>VIA BROSETA, 53 A</t>
  </si>
  <si>
    <t>broseta@ufficiomoderno.bg.it</t>
  </si>
  <si>
    <t>NEW POINT SAS DI PISCITELLI GIUSEPPE &amp; C</t>
  </si>
  <si>
    <t>VIA SAN FRANCESCO D'ASSISI, 3C</t>
  </si>
  <si>
    <t>info@newpoint-bg.it</t>
  </si>
  <si>
    <t>MARCOM SAS DI MARINI  GIANLUCA &amp;  C.</t>
  </si>
  <si>
    <t>VIALE ITALIA, 99</t>
  </si>
  <si>
    <t>TIRANO</t>
  </si>
  <si>
    <t>SO</t>
  </si>
  <si>
    <t>912@gruppobuffetti.it</t>
  </si>
  <si>
    <t>COMMERCIALE ARTICOLI TECNICI SAS DEI F.LLI MAGONI &amp; C.</t>
  </si>
  <si>
    <t>VIA STATALE, 25 /27</t>
  </si>
  <si>
    <t>COSIO VALTELLINO</t>
  </si>
  <si>
    <t>fornitori@magoni.biz</t>
  </si>
  <si>
    <t>PISANI UFFICIO S.A.S. DI PEDROTTI PAOLO &amp; C</t>
  </si>
  <si>
    <t>VIA MAZZINI, 21-B-C</t>
  </si>
  <si>
    <t>SONDRIO</t>
  </si>
  <si>
    <t>cartoleria.pisani@tiscalinet.it</t>
  </si>
  <si>
    <t>CENTRO UFFICI SAS DI BRESCIANI M.A. &amp; C.</t>
  </si>
  <si>
    <t>VIA GIULINI, 10</t>
  </si>
  <si>
    <t>COMO</t>
  </si>
  <si>
    <t>CO</t>
  </si>
  <si>
    <t>info@centroufficicomo.com</t>
  </si>
  <si>
    <t>MALVEZZI PIER PAOLO SNC DI MALVEZZI FRANCO FEDERICO FRANCESCA &amp;C</t>
  </si>
  <si>
    <t>CORSO XXV APRILE 125</t>
  </si>
  <si>
    <t>ERBA</t>
  </si>
  <si>
    <t>info@malvezzisnc.it</t>
  </si>
  <si>
    <t>BORGHI CARLO SAS DI BORGHI MAURIZIO &amp; C.</t>
  </si>
  <si>
    <t>VIA PER ALZATE, 9</t>
  </si>
  <si>
    <t>CANTÙ</t>
  </si>
  <si>
    <t>info@borghiufficio.it</t>
  </si>
  <si>
    <t>UFFICIO MODERNO SAS DI MAZZOLENI ANNAMARIA &amp; C.</t>
  </si>
  <si>
    <t>VIALE VERDI 16</t>
  </si>
  <si>
    <t>MERATE</t>
  </si>
  <si>
    <t>LC</t>
  </si>
  <si>
    <t>uff.mod@tiscali.it</t>
  </si>
  <si>
    <t>GRASSI UFFICIO DI GIORGIO GRASSI &amp; C.SAS</t>
  </si>
  <si>
    <t>VIA IV NOVEMBRE 44</t>
  </si>
  <si>
    <t>MARIANO COMENSE</t>
  </si>
  <si>
    <t>info@grassiufficio.it</t>
  </si>
  <si>
    <t>LUIGI CATTANEO SNC DI CATTANEO CELESTINA E ROSA</t>
  </si>
  <si>
    <t>VIA MARCO D'OGGIONO, 7</t>
  </si>
  <si>
    <t>OGGIONO</t>
  </si>
  <si>
    <t>info@cattaneolecco.it</t>
  </si>
  <si>
    <t>LINEA SCUOLA UFFICIO DI CARBONELLI VALENTINA</t>
  </si>
  <si>
    <t>VIA RISORGIMENTO, 24 E</t>
  </si>
  <si>
    <t>MANDELLO DEL LARIO</t>
  </si>
  <si>
    <t>lsufficiovalentina@tin.it</t>
  </si>
  <si>
    <t>RAVINI ROBERTA</t>
  </si>
  <si>
    <t>VIALE ROMA, 119</t>
  </si>
  <si>
    <t>TURATE</t>
  </si>
  <si>
    <t>robertaravini@gmail.com</t>
  </si>
  <si>
    <t>CATTANEO UFFICIO SRL</t>
  </si>
  <si>
    <t>VIA MARCO D'OGGIONO, 9</t>
  </si>
  <si>
    <t>LECCO</t>
  </si>
  <si>
    <t>info@cattaneoufficio.it</t>
  </si>
  <si>
    <t>OFFICE &amp; SERVICES SRL</t>
  </si>
  <si>
    <t>VIA BECCADELLO 5</t>
  </si>
  <si>
    <t>CASTELLEONE</t>
  </si>
  <si>
    <t>CR</t>
  </si>
  <si>
    <t>negozio@oesse.biz</t>
  </si>
  <si>
    <t>SPAZIO UFFICIO SRL</t>
  </si>
  <si>
    <t>VIA ROSARIO, 4A</t>
  </si>
  <si>
    <t>CREMONA</t>
  </si>
  <si>
    <t>spazioufficio@fastpiu.it</t>
  </si>
  <si>
    <t>GHILARDI PAOLO SNC DI GHILARDI ANTONIO &amp; C.</t>
  </si>
  <si>
    <t>VIA XX SETTEMBRE, 125 /127</t>
  </si>
  <si>
    <t>CREMA</t>
  </si>
  <si>
    <t>GHILARDI@GHILARDICREMA.IT</t>
  </si>
  <si>
    <t>L'UFFICIO MODERNO DI BRAMBINI GIOVANNI E BRENNO S.N.C.</t>
  </si>
  <si>
    <t>CORSO GARIBALDI, 259</t>
  </si>
  <si>
    <t>INFO@UFFICIOMODERNOCR.IT</t>
  </si>
  <si>
    <t>OERRE DI DEVICENZI MIRKO E C. SNC</t>
  </si>
  <si>
    <t>VIA DELLA POSTA, 1</t>
  </si>
  <si>
    <t>CASALMAGGIORE</t>
  </si>
  <si>
    <t>oerre@oerre.net</t>
  </si>
  <si>
    <t>SPAZIO UFFICIO 2 DI CAPELLETTI D.E BIZZARRO G. SNC</t>
  </si>
  <si>
    <t>VIA GHINAGLIA, 132</t>
  </si>
  <si>
    <t>spazioufficio2@fastpiu.it</t>
  </si>
  <si>
    <t>ALL OFFICE SRL</t>
  </si>
  <si>
    <t>PIAZZALE VITTORIA S.</t>
  </si>
  <si>
    <t>CASTEL GOFFREDO</t>
  </si>
  <si>
    <t>MN</t>
  </si>
  <si>
    <t>alloffice.castiglione@tin.it</t>
  </si>
  <si>
    <t>GIOVANNI BIGNOTTI  &amp; FIGLI SNC</t>
  </si>
  <si>
    <t>VIA PRETORIO 26</t>
  </si>
  <si>
    <t>CASTIGLIONE DELLE STIVIER</t>
  </si>
  <si>
    <t>info@bignottiefiglisnc.it</t>
  </si>
  <si>
    <t>RABBI MARIO</t>
  </si>
  <si>
    <t>VIALE PIAVE, 15</t>
  </si>
  <si>
    <t>MANTOVA</t>
  </si>
  <si>
    <t>nonsoloufficio.mn@gmail.com</t>
  </si>
  <si>
    <t>LINEAUFFICIO SAS DI BELLINI ADRIANA &amp; C.</t>
  </si>
  <si>
    <t>VIA ABETONE BRENNERO EST, 71/A</t>
  </si>
  <si>
    <t>OSTIGLIA</t>
  </si>
  <si>
    <t>info@lineaufficio.biz</t>
  </si>
  <si>
    <t>UFFICIO IN SAS DI MALGARINI VALERIA &amp; C.</t>
  </si>
  <si>
    <t>VIA BERTANI, 18</t>
  </si>
  <si>
    <t>ufficioin@gmail.com</t>
  </si>
  <si>
    <t>STRADA STATALE GOITESE 371</t>
  </si>
  <si>
    <t>GOITO</t>
  </si>
  <si>
    <t>info@ideaufficiobuffetti.com</t>
  </si>
  <si>
    <t>CENTRUFFICIO SRL</t>
  </si>
  <si>
    <t>VIA MILANO, 161</t>
  </si>
  <si>
    <t>DESIO</t>
  </si>
  <si>
    <t>MB</t>
  </si>
  <si>
    <t>a.centrufficio@alice.it</t>
  </si>
  <si>
    <t>A. LAVERDE SAS DI LAVERDE ANTONWALTER &amp; C.</t>
  </si>
  <si>
    <t>VIA MILANO, 25</t>
  </si>
  <si>
    <t>LEGNANO</t>
  </si>
  <si>
    <t>MI</t>
  </si>
  <si>
    <t>info@laverde.net</t>
  </si>
  <si>
    <t>PERRY SRL</t>
  </si>
  <si>
    <t>VIA MATTEOTTI, 91</t>
  </si>
  <si>
    <t>GORGONZOLA</t>
  </si>
  <si>
    <t>perrysrl@tiscali.it</t>
  </si>
  <si>
    <t>VECCHI GIANFRANCO SAS DI VECCHI CLAUDIO &amp; C.</t>
  </si>
  <si>
    <t>PIAZZA MAGGIOLINI, 39</t>
  </si>
  <si>
    <t>PARABIAGO</t>
  </si>
  <si>
    <t>info@demouffici.it</t>
  </si>
  <si>
    <t>VIA UGO BASSI, 3</t>
  </si>
  <si>
    <t>MILANO</t>
  </si>
  <si>
    <t>info@ideaufficiosrl.it</t>
  </si>
  <si>
    <t>ANGOLO DELL'UFFICIO SNC DI CASIRAGHI ERMINIO &amp; C.</t>
  </si>
  <si>
    <t>VIALE MATTEOTTI, 27/E</t>
  </si>
  <si>
    <t>CUSANO MILANINO</t>
  </si>
  <si>
    <t>angoloufficio@gmail.com</t>
  </si>
  <si>
    <t>ROTOSYSTEM S.N.C. DI FRIGERIO MONICA e MATTEO</t>
  </si>
  <si>
    <t>VIA ITALIA 197/C   C.C.  GLOBO</t>
  </si>
  <si>
    <t>BUSNAGO</t>
  </si>
  <si>
    <t>negozio@rotosystemsnc.it</t>
  </si>
  <si>
    <t>SERVIZI E SOLUZIONI S.A.S. DI ROSSI ANTONELLA &amp; C.</t>
  </si>
  <si>
    <t>VIA DANTE  ALIGHIERI , 1</t>
  </si>
  <si>
    <t>PESCHIERA BORROMEO</t>
  </si>
  <si>
    <t>buffetti@seresol.com</t>
  </si>
  <si>
    <t>MODULVIVA SRL</t>
  </si>
  <si>
    <t>VIA FOSCOLO, 6</t>
  </si>
  <si>
    <t>AGRATE BRIANZA</t>
  </si>
  <si>
    <t>info@modulviva.it</t>
  </si>
  <si>
    <t>GRAFICHE BOFFI SRL</t>
  </si>
  <si>
    <t>VIALE MONZA, 51</t>
  </si>
  <si>
    <t>GIUSSANO</t>
  </si>
  <si>
    <t>1379@gruppobuffetti.it</t>
  </si>
  <si>
    <t>VALTORTA GIUSEPPE SAS DI VALTORTA BEATRICE</t>
  </si>
  <si>
    <t>CORSO LIBERTA', 5</t>
  </si>
  <si>
    <t>CARATE BRIANZA</t>
  </si>
  <si>
    <t>valtor07@valtortagiuseppe.191.it</t>
  </si>
  <si>
    <t>SOLUZIONI UFFICIO SRL</t>
  </si>
  <si>
    <t>CORSO PORTA ROMANA 132</t>
  </si>
  <si>
    <t>amministrazione@soluzioni-ufficio.it</t>
  </si>
  <si>
    <t>ERRETIPI SRL</t>
  </si>
  <si>
    <t>VIALE CERTOSA, 150</t>
  </si>
  <si>
    <t>1396@gruppobuffetti.it</t>
  </si>
  <si>
    <t>D.A.P.A. SNC DI POZZI DANIELA E POZZI P.</t>
  </si>
  <si>
    <t>VIALE ITALIA, 4B</t>
  </si>
  <si>
    <t>LAINATE</t>
  </si>
  <si>
    <t>info@dapaweb.com</t>
  </si>
  <si>
    <t>PUNTO UFFICIO SRL</t>
  </si>
  <si>
    <t>VIA PORPORA, 63</t>
  </si>
  <si>
    <t>info@puntoufficiomilano.it</t>
  </si>
  <si>
    <t>TECNOCONTABILE DI SOLARO MARIO</t>
  </si>
  <si>
    <t>VIA XX SETTEMBRE, 70</t>
  </si>
  <si>
    <t>VOGHERA</t>
  </si>
  <si>
    <t>PV</t>
  </si>
  <si>
    <t>tecnocontabile@hotmail.it</t>
  </si>
  <si>
    <t>INTERLANDI SRL</t>
  </si>
  <si>
    <t>VIA MONTE GRAPPA, 57</t>
  </si>
  <si>
    <t>VIGEVANO</t>
  </si>
  <si>
    <t>buffetti@interlandi.191.it</t>
  </si>
  <si>
    <t>SOVNET SRL</t>
  </si>
  <si>
    <t>VIALE CREMONA, 250/B</t>
  </si>
  <si>
    <t>PAVIA</t>
  </si>
  <si>
    <t>commerciale@sovnet.it</t>
  </si>
  <si>
    <t>L'UFFICIO MODERNO DELLA LOMBARDIA SRL</t>
  </si>
  <si>
    <t>VIA VIGENTINA, 14</t>
  </si>
  <si>
    <t>1417@gruppobuffetti.it</t>
  </si>
  <si>
    <t>CIAC SRL</t>
  </si>
  <si>
    <t>CORSO ROMA, 9</t>
  </si>
  <si>
    <t>COLOGNO MONZESE</t>
  </si>
  <si>
    <t>info@ciacsrl.it</t>
  </si>
  <si>
    <t>FOROBONAPARTE SRL</t>
  </si>
  <si>
    <t>FORO BONAPARTE 53</t>
  </si>
  <si>
    <t>amministrazione@forobonaparte.it</t>
  </si>
  <si>
    <t>LA BOTTEGA PER L'UFFICIO SRL</t>
  </si>
  <si>
    <t>VIALE CORSICA, 74</t>
  </si>
  <si>
    <t>labottegaperlufficio@fastwebnet.it</t>
  </si>
  <si>
    <t>L'UFFICIO DI AMIGONI GIANLUIGI</t>
  </si>
  <si>
    <t>VIA MARTIRI DELLA LIBERTA, 3/C</t>
  </si>
  <si>
    <t>CALOLZIOCORTE</t>
  </si>
  <si>
    <t>ufficio.amigoni@tiscalinet.it</t>
  </si>
  <si>
    <t>PAPYRUS TECH SNC DI MANTOVA &amp; ROSSETTI</t>
  </si>
  <si>
    <t>VIALE MONTE CENERI 30</t>
  </si>
  <si>
    <t>info@papyrustech.it</t>
  </si>
  <si>
    <t>SISTEMAUFFICIO SRL</t>
  </si>
  <si>
    <t>VIA VOLTA 48</t>
  </si>
  <si>
    <t>SENAGO</t>
  </si>
  <si>
    <t>buffettisenago@sufficio.it</t>
  </si>
  <si>
    <t>MATRIX INFORMATICA SRL</t>
  </si>
  <si>
    <t>VIA XXV APRILE, 2</t>
  </si>
  <si>
    <t>PERO</t>
  </si>
  <si>
    <t>info@matrix.co.it</t>
  </si>
  <si>
    <t>VIA INDIPENDENZA, 64 /66</t>
  </si>
  <si>
    <t>MEDA</t>
  </si>
  <si>
    <t>buffettimeda@sufficio.it</t>
  </si>
  <si>
    <t>KEY OFFICE DI SCACCABAROZZI ALESSIA</t>
  </si>
  <si>
    <t>CORSO ROMA 49</t>
  </si>
  <si>
    <t>CESANO MADERNO</t>
  </si>
  <si>
    <t>keyoffice@virgilio.it</t>
  </si>
  <si>
    <t>QUEL CHE CONTA DI GUIDA SIMONA</t>
  </si>
  <si>
    <t>VIA BARNABITI 3</t>
  </si>
  <si>
    <t>CERNUSCO SUL NAVIGLIO</t>
  </si>
  <si>
    <t>quelcheconta@gmail.com</t>
  </si>
  <si>
    <t>UFFICIOMANIA DI ENRICA PEREGO</t>
  </si>
  <si>
    <t>VIA GILERA, 15</t>
  </si>
  <si>
    <t>ARCORE</t>
  </si>
  <si>
    <t>buffetti.ufficiomania@gmail.com</t>
  </si>
  <si>
    <t>NUOVE IDEE  S.R.L.</t>
  </si>
  <si>
    <t>VIA MAGENTA, 9</t>
  </si>
  <si>
    <t>MONZA</t>
  </si>
  <si>
    <t>nuoveideesrl@legalmail.it</t>
  </si>
  <si>
    <t>TIME OFFICE SNC DI BERTAGGIA MARCO &amp; C.</t>
  </si>
  <si>
    <t>VIA ODESCALCHI, 37</t>
  </si>
  <si>
    <t>SEREGNO</t>
  </si>
  <si>
    <t>timeofficesnc@libero.it</t>
  </si>
  <si>
    <t>GRANDI MAGAZZINI CARTOLERIA SNC DI BANA ROBERTO &amp; C.</t>
  </si>
  <si>
    <t>VIA PAOLO DA CANNOBIO, 10</t>
  </si>
  <si>
    <t>gmcart@tin.it</t>
  </si>
  <si>
    <t>DAPA SNC DI POZZI DANIELA &amp; POZZI PAOLO</t>
  </si>
  <si>
    <t>CORSO EUROPA, 158</t>
  </si>
  <si>
    <t>RHO</t>
  </si>
  <si>
    <t>rho@dapaweb.com</t>
  </si>
  <si>
    <t>MV OFFICE DI PIRELLA MASSIMO ALBERTO</t>
  </si>
  <si>
    <t>L.GO PAPA GIOVANNI XXIII, 7B</t>
  </si>
  <si>
    <t>SETTIMO MILANESE</t>
  </si>
  <si>
    <t>max.pirella@gmail.com</t>
  </si>
  <si>
    <t>NEW PLANET CART DI NEGRI MARCO</t>
  </si>
  <si>
    <t>VIA VITTIME DEL RAZZISMO, 20</t>
  </si>
  <si>
    <t>SAN MARTINO IN STRADA</t>
  </si>
  <si>
    <t>LO</t>
  </si>
  <si>
    <t>NEWPLANETCART@GMAIL.COM</t>
  </si>
  <si>
    <t>A. LAVERDE DI LAVERDE COSTANTINO</t>
  </si>
  <si>
    <t>VIA EINAUDI 1</t>
  </si>
  <si>
    <t>BUSTO ARSIZIO</t>
  </si>
  <si>
    <t>VA</t>
  </si>
  <si>
    <t>LAVERDESAS@GMAIL.COM</t>
  </si>
  <si>
    <t>TECNOUFFICIO SERVICE SAS DI MARCANTE GIAN MARIO &amp; C.</t>
  </si>
  <si>
    <t>VIA BONICALZA, 61</t>
  </si>
  <si>
    <t>CASSANO MAGNAGO</t>
  </si>
  <si>
    <t>amministrazione@tecnoufficiosas.it</t>
  </si>
  <si>
    <t>UBOLDI MARIO</t>
  </si>
  <si>
    <t>CORSO BERNACCHI, 170</t>
  </si>
  <si>
    <t>TRADATE</t>
  </si>
  <si>
    <t>buffetti.tradate@gmail.com</t>
  </si>
  <si>
    <t>ZIBETTI UFFICIO SAS DI CARNAGHI ROBERTO &amp; C.</t>
  </si>
  <si>
    <t>CORSO ITALIA, 8</t>
  </si>
  <si>
    <t>GALLARATE</t>
  </si>
  <si>
    <t>info@zibettiufficio.it</t>
  </si>
  <si>
    <t>FORNITURE UFFICI SAS DI PADOVAN ANTONELLA E C.</t>
  </si>
  <si>
    <t>P.ZA UNITA' D'ITALIA 54</t>
  </si>
  <si>
    <t>SARONNO</t>
  </si>
  <si>
    <t>forniture.uffici@virgilio.it</t>
  </si>
  <si>
    <t>CERUTTI &amp; POZZI SRL</t>
  </si>
  <si>
    <t>VIA XV AGOSTO, 13</t>
  </si>
  <si>
    <t>LUINO</t>
  </si>
  <si>
    <t>cp2@libero.it</t>
  </si>
  <si>
    <t>TOP OFFICE SRL</t>
  </si>
  <si>
    <t>VIA TORINO, 8</t>
  </si>
  <si>
    <t>topoffice@topofficesrl.com</t>
  </si>
  <si>
    <t>UFFICIO SINTESI DI TORAZZI MARIA ROSA</t>
  </si>
  <si>
    <t>PIAZZA CASTEGNATE 2/A</t>
  </si>
  <si>
    <t>CASTELLANZA</t>
  </si>
  <si>
    <t>ufficiosintesi@tiscalinet.it</t>
  </si>
  <si>
    <t>AREA 51 SERVICE DI DARIO CARMELO GALBIATI</t>
  </si>
  <si>
    <t>VIA G. BERNASCONE 19</t>
  </si>
  <si>
    <t>VARESE</t>
  </si>
  <si>
    <t>1637@gruppobuffetti.it</t>
  </si>
  <si>
    <t>ALLOISIO FRATELLI S.N.C.</t>
  </si>
  <si>
    <t>VIALE ADUA, 8F</t>
  </si>
  <si>
    <t>ORZINUOVI</t>
  </si>
  <si>
    <t>BS</t>
  </si>
  <si>
    <t>commerciale@alloisio.com</t>
  </si>
  <si>
    <t>CENTRO TECNICO CONTABILE FRANCIACORTA S.R.L.</t>
  </si>
  <si>
    <t>VIA FRANCIACORTA 74</t>
  </si>
  <si>
    <t>ROVATO</t>
  </si>
  <si>
    <t>rovato@ctcf.it</t>
  </si>
  <si>
    <t>GI.TI.ELLE SRL</t>
  </si>
  <si>
    <t>VIA ORZINUOVI 83</t>
  </si>
  <si>
    <t>BRESCIA</t>
  </si>
  <si>
    <t>gitielle@tin.it</t>
  </si>
  <si>
    <t>VIA CARLO ZIMA 4</t>
  </si>
  <si>
    <t>MANERBIO</t>
  </si>
  <si>
    <t>manerbio@alloisio.com</t>
  </si>
  <si>
    <t>GALIMBERTI SRL</t>
  </si>
  <si>
    <t>VIA GIOVANNI QUARENA, 220</t>
  </si>
  <si>
    <t>GAVARDO</t>
  </si>
  <si>
    <t>acquisti@galimbertiweb.it</t>
  </si>
  <si>
    <t>TUTTOUFFICIO SRL</t>
  </si>
  <si>
    <t>VIA CROCIFISSA DI ROSA, 70</t>
  </si>
  <si>
    <t>amministrazione@tuttoufficiobrescia.it</t>
  </si>
  <si>
    <t>STE.MA.CART. SNC DI FESTA M.ELENA E BERTOLI L.</t>
  </si>
  <si>
    <t>VIA ROMANA  16</t>
  </si>
  <si>
    <t>PALAZZOLO SULL'OGLIO</t>
  </si>
  <si>
    <t>stemacart@libero.it</t>
  </si>
  <si>
    <t>A. ELLE SAS DI ALBIERO ANTONIO &amp; C.</t>
  </si>
  <si>
    <t>VIA BEVILACQUA, 1</t>
  </si>
  <si>
    <t>DESENZANO DEL GARDA</t>
  </si>
  <si>
    <t>renataleali@tiscali.it</t>
  </si>
  <si>
    <t>VERONESI SRL</t>
  </si>
  <si>
    <t>VIA NATTA,SNC</t>
  </si>
  <si>
    <t>SALO'</t>
  </si>
  <si>
    <t>amministrazione@veronesisrl.it</t>
  </si>
  <si>
    <t>VIA MANIFATTURA, 9</t>
  </si>
  <si>
    <t>DARFO BOARIO TERME</t>
  </si>
  <si>
    <t>info@ghezamatic.it</t>
  </si>
  <si>
    <t>COPY GARDA TUTTUFFICIO SNC DI MARASCALCHI CARLOS &amp; L.</t>
  </si>
  <si>
    <t>V.LE MARTIRI 28 GIUGNO, 6</t>
  </si>
  <si>
    <t>RIVA DEL GARDA</t>
  </si>
  <si>
    <t>TN</t>
  </si>
  <si>
    <t>04 - Trentino Alto Adige</t>
  </si>
  <si>
    <t>importexport@copygarda.it</t>
  </si>
  <si>
    <t>NAPOLEONE SAS DI PERENZONI LUCIANA &amp;C.</t>
  </si>
  <si>
    <t>VIA GIUSEPPE CRAFFONARA, 8</t>
  </si>
  <si>
    <t>ROVERETO</t>
  </si>
  <si>
    <t>napoleone@iol.it</t>
  </si>
  <si>
    <t>B.ANTOLINI SAS DI PIERO ANTOLINI &amp; C.</t>
  </si>
  <si>
    <t>VIALE DANTE, 5</t>
  </si>
  <si>
    <t>TIONE DI TRENTO</t>
  </si>
  <si>
    <t>info@cartolibreriantolini.it</t>
  </si>
  <si>
    <t>DELLAGIACOMA SAS DI DELLAGIACOMA &amp; F.LLI</t>
  </si>
  <si>
    <t>VIA FIAMME GIALLE 54</t>
  </si>
  <si>
    <t>PREDAZZO</t>
  </si>
  <si>
    <t>amministrazione@dellagiacoma.org</t>
  </si>
  <si>
    <t>CORONA SRL</t>
  </si>
  <si>
    <t>VIA ANTONIO ROSMINI 60/62</t>
  </si>
  <si>
    <t>TRENTO</t>
  </si>
  <si>
    <t>info@corona.it</t>
  </si>
  <si>
    <t>CART. DELLA GIACOMA DI DELLA GIACOMA E F.LLI SAS</t>
  </si>
  <si>
    <t>VIALE LIBERTA, 8</t>
  </si>
  <si>
    <t>CAVALESE</t>
  </si>
  <si>
    <t>ERREBI SAS DI ANTONETTI ALESSANDRO &amp; C.</t>
  </si>
  <si>
    <t>VIALE MAZZINI 20 /22</t>
  </si>
  <si>
    <t>FELTRE</t>
  </si>
  <si>
    <t>BL</t>
  </si>
  <si>
    <t>05 - Veneto</t>
  </si>
  <si>
    <t>errebifeltre@tin.it</t>
  </si>
  <si>
    <t>DUE UFFICIO SRL</t>
  </si>
  <si>
    <t>VIA BELLUNO 36</t>
  </si>
  <si>
    <t>SEDICO</t>
  </si>
  <si>
    <t>contabilita@dueufficio.it</t>
  </si>
  <si>
    <t>VIA MATTEOTTI GIACOMO, 58A</t>
  </si>
  <si>
    <t>BELLUNO</t>
  </si>
  <si>
    <t>amministrazione@dueufficio.it</t>
  </si>
  <si>
    <t>CARTOLIMENA SRL</t>
  </si>
  <si>
    <t>VIA DEL SANTO 174</t>
  </si>
  <si>
    <t>LIMENA</t>
  </si>
  <si>
    <t>PD</t>
  </si>
  <si>
    <t>contabile@cartolimena.it</t>
  </si>
  <si>
    <t>PUNTO UFFICIO SAS DI MATTIAZZO SUSANNA &amp; C.</t>
  </si>
  <si>
    <t>VIA S.LUIGI 15</t>
  </si>
  <si>
    <t>MONSELICE</t>
  </si>
  <si>
    <t>info@buffettimonselice.it</t>
  </si>
  <si>
    <t>MANZONI A. SNC DI GUSELLA GIANNI &amp; C.</t>
  </si>
  <si>
    <t>VIALE MAZZINI, 16</t>
  </si>
  <si>
    <t>ABANO TERME</t>
  </si>
  <si>
    <t>abanobuffetti@tiscali.it</t>
  </si>
  <si>
    <t>PIOVAN ALBERTO</t>
  </si>
  <si>
    <t>VIA SAN FRANCESCO, 64/66</t>
  </si>
  <si>
    <t>PADOVA</t>
  </si>
  <si>
    <t>puntoscuolapadova@alice.it</t>
  </si>
  <si>
    <t>PROGRAMMA UFFICIO DI GALANTE MORENO &amp; C. SAS</t>
  </si>
  <si>
    <t>VIA ANGELO URBANI, 2</t>
  </si>
  <si>
    <t>ESTE</t>
  </si>
  <si>
    <t>info@programmaufficio.eu</t>
  </si>
  <si>
    <t>DISTRIBUZIONE UFFICIO SRL</t>
  </si>
  <si>
    <t>VIA A. GRASSI, 8C</t>
  </si>
  <si>
    <t>2048@gruppobuffetti.it</t>
  </si>
  <si>
    <t>VIA ANTONIANA, 220</t>
  </si>
  <si>
    <t>CAMPODARSEGO</t>
  </si>
  <si>
    <t>2049@gruppobuffetti.it</t>
  </si>
  <si>
    <t>VIA BONORA, 47</t>
  </si>
  <si>
    <t>CAMPOSAMPIERO</t>
  </si>
  <si>
    <t>2050@gruppobuffetti.it</t>
  </si>
  <si>
    <t>PAVAN ELIO E C. SNC</t>
  </si>
  <si>
    <t>VIA CARRARESE, 19</t>
  </si>
  <si>
    <t>MONTAGNANA</t>
  </si>
  <si>
    <t>pavaneliosnc@ngi.it</t>
  </si>
  <si>
    <t>BOTTONI FABIANO</t>
  </si>
  <si>
    <t>VIA ROMA, 5</t>
  </si>
  <si>
    <t>CASALE DI SCODOSIA</t>
  </si>
  <si>
    <t>negozio@bottonifabiano.com</t>
  </si>
  <si>
    <t>LINEA UFFICIO PADOVA SRLS</t>
  </si>
  <si>
    <t>VIA G. MARCONI, 180A</t>
  </si>
  <si>
    <t>PONTE SAN NICOLO</t>
  </si>
  <si>
    <t>2053@gruppobuffetti.it</t>
  </si>
  <si>
    <t>TUTTOCONTABILE DI TUFFANELLI ENRICO</t>
  </si>
  <si>
    <t>VIA BORTOLO LUPATI, 14/16</t>
  </si>
  <si>
    <t>ADRIA</t>
  </si>
  <si>
    <t>RO</t>
  </si>
  <si>
    <t>tuttocontabile@gmail.com</t>
  </si>
  <si>
    <t>VIA CARDUCCI, 68</t>
  </si>
  <si>
    <t>ROVIGO</t>
  </si>
  <si>
    <t>amministrazione@puntoufficiosas.it</t>
  </si>
  <si>
    <t>BATTIVELLI DI BATTIVELLI MARZIA</t>
  </si>
  <si>
    <t>VIALE ITALIA 117 /119</t>
  </si>
  <si>
    <t>CONEGLIANO</t>
  </si>
  <si>
    <t>TV</t>
  </si>
  <si>
    <t>ordini@battivelliweb.com</t>
  </si>
  <si>
    <t>LA CARTOCONTABILE SRL</t>
  </si>
  <si>
    <t>Via POSTUMIA DI CAMINO 3/A</t>
  </si>
  <si>
    <t>ODERZO</t>
  </si>
  <si>
    <t>lacartocontabile@virgilio.it</t>
  </si>
  <si>
    <t>MATREX SAS DI TREVISAN MAURIZIO &amp; C.</t>
  </si>
  <si>
    <t>VIA MILANO 10</t>
  </si>
  <si>
    <t>MOTTA DI LIVENZA</t>
  </si>
  <si>
    <t>amministrazione@matrex.tv</t>
  </si>
  <si>
    <t>CARTOLERIA BATTIVELLI DI BATTIVELLI MARZIA</t>
  </si>
  <si>
    <t>VIA CAPOVILLA, 1 - GALLERIA ZADRA</t>
  </si>
  <si>
    <t>PIEVE DI SOLIGO</t>
  </si>
  <si>
    <t>IL PUNTO CONTABILE MOGLIANO SRL</t>
  </si>
  <si>
    <t>VIA MARCONI 32</t>
  </si>
  <si>
    <t>MOGLIANO VENETO</t>
  </si>
  <si>
    <t>buffettimogliano1@libero.it</t>
  </si>
  <si>
    <t>L'UFFICIO DEL CENTRO SRL</t>
  </si>
  <si>
    <t>PIAZZA DELLA VITTORIA, 8</t>
  </si>
  <si>
    <t>TREVISO</t>
  </si>
  <si>
    <t>amministrazione@udc.it</t>
  </si>
  <si>
    <t>VIA POSTUMIA 153</t>
  </si>
  <si>
    <t>PAESE</t>
  </si>
  <si>
    <t>COMMERCIALE CASTELLANA SRL</t>
  </si>
  <si>
    <t>VIA DELLA COOPERAZIONE, 7</t>
  </si>
  <si>
    <t>CASTELFRANCO VENETO</t>
  </si>
  <si>
    <t>fornitori@comm-castellana.com</t>
  </si>
  <si>
    <t>MONTUFFICIO SRL</t>
  </si>
  <si>
    <t>VICOLO BOCCACAVALLA, 3 /E</t>
  </si>
  <si>
    <t>MONTEBELLUNA</t>
  </si>
  <si>
    <t>info@felkart.it</t>
  </si>
  <si>
    <t>TUTTO PER L'UFFICIO DI ZILIO MARCO</t>
  </si>
  <si>
    <t>VIA GIROLAMO CELANTE 14</t>
  </si>
  <si>
    <t>VITTORIO VENETO</t>
  </si>
  <si>
    <t>buffetti.vv@mzoffice.it</t>
  </si>
  <si>
    <t>VIA CONEGLIANO, 96</t>
  </si>
  <si>
    <t>SUSEGANA</t>
  </si>
  <si>
    <t>2234@gruppobuffetti.it</t>
  </si>
  <si>
    <t>PUNTO CONTABILE SRL</t>
  </si>
  <si>
    <t>VIA ROMA, 99</t>
  </si>
  <si>
    <t>RONCADE</t>
  </si>
  <si>
    <t>amministrazione@puntocontabile.it</t>
  </si>
  <si>
    <t>VIA POSTUMIA OVEST, 115</t>
  </si>
  <si>
    <t>SAN BIAGIO DI CALLALTA</t>
  </si>
  <si>
    <t>monica.renon@gruppologo.it</t>
  </si>
  <si>
    <t>LIBRERIA  BONALDO SAS DI OSELLADORE MARCO &amp; C.</t>
  </si>
  <si>
    <t>BORGO SAN GIOVANNI,348 -350</t>
  </si>
  <si>
    <t>CHIOGGIA</t>
  </si>
  <si>
    <t>VE</t>
  </si>
  <si>
    <t>oselladoremarco@libero.it</t>
  </si>
  <si>
    <t>BETAN SRL</t>
  </si>
  <si>
    <t>SESTIERE CANNAREGGIO, 5587-5588</t>
  </si>
  <si>
    <t>VENEZIA</t>
  </si>
  <si>
    <t>info@betanvenezia.it</t>
  </si>
  <si>
    <t>EURO UFFICIO SNC DI PANIGHEL PIETRO &amp; C.</t>
  </si>
  <si>
    <t>VIALE TRIESTE 176</t>
  </si>
  <si>
    <t>PORTOGRUARO</t>
  </si>
  <si>
    <t>amministrazione@euroufficiosnc.it</t>
  </si>
  <si>
    <t>MILLECOPIE SNC DI BIANCO MANUELA &amp; C.</t>
  </si>
  <si>
    <t>VIA GIUSTI, 2</t>
  </si>
  <si>
    <t>SPINEA</t>
  </si>
  <si>
    <t>millecopie@libero.it</t>
  </si>
  <si>
    <t>MARCO BETTIOLO</t>
  </si>
  <si>
    <t>VIA DELLA VITTORIA  15</t>
  </si>
  <si>
    <t>MIRANO</t>
  </si>
  <si>
    <t>info@cancelleriaufficio.it</t>
  </si>
  <si>
    <t>DIAGRAMMA SNC DEI F.LLI SCAFIDI MORENO E FILIPPO</t>
  </si>
  <si>
    <t>VIA MEDITERRANEO, 140</t>
  </si>
  <si>
    <t>SOTTOMARINA</t>
  </si>
  <si>
    <t>carla@diagrammaitalia.it</t>
  </si>
  <si>
    <t>LA CONTABILE SRL</t>
  </si>
  <si>
    <t>VIA MAMELI, 81</t>
  </si>
  <si>
    <t>JESOLO</t>
  </si>
  <si>
    <t>amministrazione@lacontabile.it</t>
  </si>
  <si>
    <t>BATTISTELLA S.N.C. DI FRANCESCO PIZZATO &amp; C.</t>
  </si>
  <si>
    <t>VIA VITTORIO VENETO, 73</t>
  </si>
  <si>
    <t>SAN DONA' DI PIAVE</t>
  </si>
  <si>
    <t>info@battistella-sas.it</t>
  </si>
  <si>
    <t>CARTOGT S.N.C.</t>
  </si>
  <si>
    <t>VIA ARNALDO FUSINATO, 40</t>
  </si>
  <si>
    <t>MESTRE</t>
  </si>
  <si>
    <t>cartogt@libero.it</t>
  </si>
  <si>
    <t>VIA VENEZIA, 55</t>
  </si>
  <si>
    <t>SCORZE'</t>
  </si>
  <si>
    <t>acquisti@distribuzioneufficio.it</t>
  </si>
  <si>
    <t>FERRARI GINO SRL</t>
  </si>
  <si>
    <t>VIA PIER DOMENICO FRATTINI, 64</t>
  </si>
  <si>
    <t>LEGNAGO</t>
  </si>
  <si>
    <t>VR</t>
  </si>
  <si>
    <t>legnago.ferrariginosrl@gmail.com</t>
  </si>
  <si>
    <t>VENETA UFFICIO SNC DI COVOLAN E EVANGELISTI</t>
  </si>
  <si>
    <t>VIA NAPOLEONE III, 6 /A</t>
  </si>
  <si>
    <t>VILLAFRANCA DI VERONA</t>
  </si>
  <si>
    <t>venetaufficio@virgilio.it</t>
  </si>
  <si>
    <t>MARCHIOTTO LUCIANO</t>
  </si>
  <si>
    <t>VIA DEL PONTIERE 6</t>
  </si>
  <si>
    <t>VERONA</t>
  </si>
  <si>
    <t>buffetti@marchiotto.it</t>
  </si>
  <si>
    <t>BENACO UFFICIO SNC di DE BENI R. E CAPPELLETTI M.</t>
  </si>
  <si>
    <t>VIA VENEZIA 1</t>
  </si>
  <si>
    <t>PESCHIERA DEL GARDA</t>
  </si>
  <si>
    <t>benaco.ufficio@libero.it</t>
  </si>
  <si>
    <t>TECNOUFFICIO DI TAVOSO GABRIELE</t>
  </si>
  <si>
    <t>PIAZZA UMBERTO, 72</t>
  </si>
  <si>
    <t>SAN GIOVANNI LUPATOTO</t>
  </si>
  <si>
    <t>tavosoga@tecnoufficio.191.it</t>
  </si>
  <si>
    <t>SISTEMA UFFICIO DI SACCARDI MAURO</t>
  </si>
  <si>
    <t>VIA XXIV MAGGIO, 6/AB</t>
  </si>
  <si>
    <t>mauro600@virgilio.it</t>
  </si>
  <si>
    <t>MION PAOLO</t>
  </si>
  <si>
    <t>VIA MAZZINI, 56</t>
  </si>
  <si>
    <t>NEGRAR</t>
  </si>
  <si>
    <t>info@cartomion.com</t>
  </si>
  <si>
    <t>PUNTO CONTABILE DI GIOVANNI RAVALLI</t>
  </si>
  <si>
    <t>VIA G. CEOLA, 20</t>
  </si>
  <si>
    <t>SAN BONIFACIO</t>
  </si>
  <si>
    <t>giovira77@gmail.com</t>
  </si>
  <si>
    <t>BENACO UFFICIO SNC DI DE BENI R. E CAPPELLETTI M.</t>
  </si>
  <si>
    <t>VIA PETRARCA, 1</t>
  </si>
  <si>
    <t>BARDOLINO</t>
  </si>
  <si>
    <t>2.ZERO SRL</t>
  </si>
  <si>
    <t>STRADONE PORTA PALIO, 80D</t>
  </si>
  <si>
    <t>INFO@BUFFETTIVERONA.IT</t>
  </si>
  <si>
    <t>F.LLI CERANTO DI CERANTO GUIDO E VITTORIO</t>
  </si>
  <si>
    <t>PIAZZA GIUSEPPE MAZZINI 8</t>
  </si>
  <si>
    <t>TRISSINO</t>
  </si>
  <si>
    <t>VI</t>
  </si>
  <si>
    <t>antonioceranto@virgilio.it</t>
  </si>
  <si>
    <t>PUNTO CONTABILE VALDAGNESE  SNC DI NICOLINI LUCA &amp; C.</t>
  </si>
  <si>
    <t>VIA GALVANI, 18/A-20</t>
  </si>
  <si>
    <t>VALDAGNO</t>
  </si>
  <si>
    <t>pcvvaldagno@virgilio.it</t>
  </si>
  <si>
    <t>LA CONTABILE SNC DI MARCHETTO STEFANO &amp; C.</t>
  </si>
  <si>
    <t>VIA PORTA</t>
  </si>
  <si>
    <t>NOVENTA VICENTINA</t>
  </si>
  <si>
    <t>buffetti@lacontabilenoventa.191.it</t>
  </si>
  <si>
    <t>FACCI GIANFRANCO SAS DI FACCI MARCO &amp; C.</t>
  </si>
  <si>
    <t>VIA CABOTO 1</t>
  </si>
  <si>
    <t>ARZIGNANO</t>
  </si>
  <si>
    <t>amministrazione@facciservice.com</t>
  </si>
  <si>
    <t>SPRINT OFFICE SRL</t>
  </si>
  <si>
    <t>VIA VALSUGANA, 100/B</t>
  </si>
  <si>
    <t>CASSOLA</t>
  </si>
  <si>
    <t>uff.amministrativo@dueufficio.it</t>
  </si>
  <si>
    <t>CARTOFISCALE DI BATTAGLIN MICHELE</t>
  </si>
  <si>
    <t>VIA CHIMINELLO 2</t>
  </si>
  <si>
    <t>MAROSTICA</t>
  </si>
  <si>
    <t>cartofiscale@telemar.it</t>
  </si>
  <si>
    <t>CENTRO UFFICIO SRL</t>
  </si>
  <si>
    <t>VIA DELLA SCIENZA, 40</t>
  </si>
  <si>
    <t>VICENZA</t>
  </si>
  <si>
    <t>amministrazione.fornitori@megastorevicenza.it</t>
  </si>
  <si>
    <t>VIA LEONARDO DA VINCI 22</t>
  </si>
  <si>
    <t>PERIGEO S.R.L.</t>
  </si>
  <si>
    <t>VIA VICENZA 18</t>
  </si>
  <si>
    <t>SCHIO</t>
  </si>
  <si>
    <t>amministrazione.fornitori@perigeo.com</t>
  </si>
  <si>
    <t>PUERARI SNC DI LAHNER HELMUTH &amp; BERTOLDI M</t>
  </si>
  <si>
    <t>VIA CAMPI DELLA RIENZA 46/A</t>
  </si>
  <si>
    <t>BRUNICO</t>
  </si>
  <si>
    <t>BZ</t>
  </si>
  <si>
    <t>puerari.kg@rolmail.net</t>
  </si>
  <si>
    <t>STEFANI SRL</t>
  </si>
  <si>
    <t>PIAZZA VITTORIA 36 /38</t>
  </si>
  <si>
    <t>BOLZANO</t>
  </si>
  <si>
    <t>info@stefanisrlbolzano.it</t>
  </si>
  <si>
    <t>CENTRO UFFICIO DI ANTONINI MANLIO</t>
  </si>
  <si>
    <t>VIA IX AGOSTO, 2/D</t>
  </si>
  <si>
    <t>GORIZIA</t>
  </si>
  <si>
    <t>GO</t>
  </si>
  <si>
    <t>06 - Friuli Venezia Giulia</t>
  </si>
  <si>
    <t>centroufficiogorizia@libero.it</t>
  </si>
  <si>
    <t>CENTRO CONTABILE SNC DI VIANI ALESSANDRO E IVANO &amp; C.</t>
  </si>
  <si>
    <t>VIA DEL TORO 18</t>
  </si>
  <si>
    <t>TRIESTE</t>
  </si>
  <si>
    <t>TS</t>
  </si>
  <si>
    <t>viadeltoro@vianishop.it</t>
  </si>
  <si>
    <t>VIA GIUSEPPE MAZZINI, 13</t>
  </si>
  <si>
    <t>viamazzini@vianishop.it</t>
  </si>
  <si>
    <t>VIA CARDUCCI, 28 /30</t>
  </si>
  <si>
    <t>MONFALCONE</t>
  </si>
  <si>
    <t>monfalcone@vianishop.it</t>
  </si>
  <si>
    <t>LA MECCANOGRAFICA DI ROS DAVIDE</t>
  </si>
  <si>
    <t>VIA XXV APRILE 6</t>
  </si>
  <si>
    <t>SACILE</t>
  </si>
  <si>
    <t>PN</t>
  </si>
  <si>
    <t>lameccanografica@tin.it</t>
  </si>
  <si>
    <t>TECNOSHOP SAS DI GIACOMUZZI G.&amp; C.</t>
  </si>
  <si>
    <t>VIA PIAVE 25</t>
  </si>
  <si>
    <t>CODROIPO</t>
  </si>
  <si>
    <t>UD</t>
  </si>
  <si>
    <t>tecnoshop@libero.it</t>
  </si>
  <si>
    <t>OFFICE LINE SNC DI CAMILLATO LUISA &amp; C.</t>
  </si>
  <si>
    <t>BORGO SALOMON, 1</t>
  </si>
  <si>
    <t>CERVIGNANO DEL FRIULI</t>
  </si>
  <si>
    <t>buffetti.cervignano@virgilio.it</t>
  </si>
  <si>
    <t>L'UWA SRL</t>
  </si>
  <si>
    <t>VIA ANTON LAZZARO MORO 85</t>
  </si>
  <si>
    <t>SAN VITO AL TAGLIAMENTO</t>
  </si>
  <si>
    <t>info@luwa.it</t>
  </si>
  <si>
    <t>L'UFFICIO SRL</t>
  </si>
  <si>
    <t>VIA VILLALTA, 16/18</t>
  </si>
  <si>
    <t>CHIONS</t>
  </si>
  <si>
    <t>amministrazione@lufficio.it</t>
  </si>
  <si>
    <t>DA SANDRO DI SERAFINI ANDREA</t>
  </si>
  <si>
    <t>VIA TRASAGHIS</t>
  </si>
  <si>
    <t>GEMONA DEL FRIULI</t>
  </si>
  <si>
    <t>gemona@dasandro.it</t>
  </si>
  <si>
    <t>VIA FORNI DI SOTTO 36 /B</t>
  </si>
  <si>
    <t>UDINE</t>
  </si>
  <si>
    <t>udine1@dasandro.it</t>
  </si>
  <si>
    <t>CENTER DATA LINE SRL</t>
  </si>
  <si>
    <t>VIALE LIBERTÀ, 39/A</t>
  </si>
  <si>
    <t>PORDENONE</t>
  </si>
  <si>
    <t>cdlinepn@tin.it</t>
  </si>
  <si>
    <t>VIA PONTE ROITERO, 1</t>
  </si>
  <si>
    <t>SPILIMBERGO</t>
  </si>
  <si>
    <t>CENTRO UFFICIO S.R.L</t>
  </si>
  <si>
    <t>VIA MAZZINI 47</t>
  </si>
  <si>
    <t>info@centro-ufficio.com</t>
  </si>
  <si>
    <t>OFFICE UDINE S.R.L.</t>
  </si>
  <si>
    <t>VIA A. BARDELLI, 4</t>
  </si>
  <si>
    <t>MARTIGNACCO</t>
  </si>
  <si>
    <t>info@officeudine.com</t>
  </si>
  <si>
    <t>VIA UDINE, 132</t>
  </si>
  <si>
    <t>pordenone@puntocontabile.it</t>
  </si>
  <si>
    <t>QUERCIOLI ANDREA</t>
  </si>
  <si>
    <t>VIALE TRIESTE, 12</t>
  </si>
  <si>
    <t>CIVIDALE DEL FRIULI</t>
  </si>
  <si>
    <t>quercio79@yahoo.it</t>
  </si>
  <si>
    <t>DIMENSIONE UFFICIO SNC DI LABIGALINI PATRIZIA &amp; C.</t>
  </si>
  <si>
    <t>VIA FASCIE 59</t>
  </si>
  <si>
    <t>SESTRI LEVANTE</t>
  </si>
  <si>
    <t>GE</t>
  </si>
  <si>
    <t>07 - Liguria</t>
  </si>
  <si>
    <t>info@dimensioneufficioonline.it</t>
  </si>
  <si>
    <t>LO SCAGNO SAS DI BACIGALUPO PATRIZIO &amp; C.</t>
  </si>
  <si>
    <t>VIA CINQUE DICEMBRE, 11</t>
  </si>
  <si>
    <t>GENOVA</t>
  </si>
  <si>
    <t>buffetti.ge@loscagno.it</t>
  </si>
  <si>
    <t>UFFICIOMANIA SNC DI PAPINI ORNELLA &amp; C.</t>
  </si>
  <si>
    <t>VIA MOLASSANA, 124 P/R</t>
  </si>
  <si>
    <t>ufficiomania@virgilio.it</t>
  </si>
  <si>
    <t>CARTUFFICIO SAS DI GIOVANNI TRAVERSO &amp; SONS</t>
  </si>
  <si>
    <t>VIA MERANO 67 A R</t>
  </si>
  <si>
    <t>LOSCARABOCCHIO.SNC@LIBERO.IT</t>
  </si>
  <si>
    <t>IL CENTRO CONT.2000 SRL</t>
  </si>
  <si>
    <t>VIA STEFANO DONDERO 10-R</t>
  </si>
  <si>
    <t>ilcc2000srl@virgilio.it</t>
  </si>
  <si>
    <t>IL CENTRO CONTABILE SRL</t>
  </si>
  <si>
    <t>VIA BRIGATA LIGURIA 45/R</t>
  </si>
  <si>
    <t>ilcentrocontabilesrl@gmail.com</t>
  </si>
  <si>
    <t>PUNTO UFFICIO DI BRIGIDA FERDINANDO</t>
  </si>
  <si>
    <t>VIA DON VERITA' GIOVANNI,23/25R</t>
  </si>
  <si>
    <t>info@puntoufficiogenova.com</t>
  </si>
  <si>
    <t>OGGERO RAG. LILIANA</t>
  </si>
  <si>
    <t>VIA DELLA CORNICE, 5</t>
  </si>
  <si>
    <t>ARMA DI TAGGIA</t>
  </si>
  <si>
    <t>IM</t>
  </si>
  <si>
    <t>info@oggeroliliana.com</t>
  </si>
  <si>
    <t>SANREMUFFICIO SAS DI CARLI CARLO E C.</t>
  </si>
  <si>
    <t>VIA SAN FRANCESCO 49</t>
  </si>
  <si>
    <t>SANREMO</t>
  </si>
  <si>
    <t>sanremuff@infinito.it</t>
  </si>
  <si>
    <t>LINEA UFFICIO SNC DI MASI MARCO &amp; C.</t>
  </si>
  <si>
    <t>VIA LUNIGIANA, 644</t>
  </si>
  <si>
    <t>LA SPEZIA</t>
  </si>
  <si>
    <t>SP</t>
  </si>
  <si>
    <t>info@lineaufficiosp.it</t>
  </si>
  <si>
    <t>OFFICE LINE SRL</t>
  </si>
  <si>
    <t>VARIANTE AURELIA VIA EMILIANA N.35</t>
  </si>
  <si>
    <t>SARZANA</t>
  </si>
  <si>
    <t>direzione.officeline@gmail.com</t>
  </si>
  <si>
    <t>FABBRI LUIGI &amp; C. SNC</t>
  </si>
  <si>
    <t>VIA EUROPA, 29</t>
  </si>
  <si>
    <t>CEPARANA</t>
  </si>
  <si>
    <t>fabbriufficio@tin.it</t>
  </si>
  <si>
    <t>LIFRA SNC DI BETTI GIANLUCA &amp; C.</t>
  </si>
  <si>
    <t>VIA ALFIERI 2</t>
  </si>
  <si>
    <t>ZOLA PREDOSA</t>
  </si>
  <si>
    <t>BO</t>
  </si>
  <si>
    <t>08 - Emilia Romagna</t>
  </si>
  <si>
    <t>info@lifra.net</t>
  </si>
  <si>
    <t>CART POINT SAS DI MORSELLI GIUSEPPE &amp; C.</t>
  </si>
  <si>
    <t>VIA MUZZINELLO, 15</t>
  </si>
  <si>
    <t>SAN GIOVANNI IN PERSICETO</t>
  </si>
  <si>
    <t>cartpoint@cartpoint.it</t>
  </si>
  <si>
    <t>SORELLE BARRACCA SNC DI GUAZZALOCA LEONARDO &amp; C.</t>
  </si>
  <si>
    <t>VIA EMILIA, 41/F</t>
  </si>
  <si>
    <t>ANZOLA DELL'EMILIA</t>
  </si>
  <si>
    <t>loretta@barracca.it</t>
  </si>
  <si>
    <t>CENTRO UFFICIO DI MASCAGNI STEFANIA</t>
  </si>
  <si>
    <t>VIA LIBERTA'79</t>
  </si>
  <si>
    <t>MEDICINA</t>
  </si>
  <si>
    <t>cu.med@alice.it</t>
  </si>
  <si>
    <t>C.AR.TEC. SNC DI MEDARDO MONTAGUTI &amp; C.</t>
  </si>
  <si>
    <t>VIA PORRETTANA 370</t>
  </si>
  <si>
    <t>CASALECCHIO DI RENO</t>
  </si>
  <si>
    <t>info@cartecbuffetti.it</t>
  </si>
  <si>
    <t>PUNTO CONTABILE SNC DI BONORA L.&amp; VOGLI VALERIA</t>
  </si>
  <si>
    <t>VIA DEL LAVORO, 1/A</t>
  </si>
  <si>
    <t>ALTEDO</t>
  </si>
  <si>
    <t>puntocon2@puntocontabilebonoraevogli.191.it</t>
  </si>
  <si>
    <t>CARTOLIBRERIA GALEATI SRL</t>
  </si>
  <si>
    <t>VIA ROMAGNOLI, 3</t>
  </si>
  <si>
    <t>IMOLA</t>
  </si>
  <si>
    <t>amministrazione@cartgaleati.com</t>
  </si>
  <si>
    <t>FRANCESCHINI MARZIA &amp; C. SNC</t>
  </si>
  <si>
    <t>VIA SAN DONATO, 69D</t>
  </si>
  <si>
    <t>QUARTO INFERIORE</t>
  </si>
  <si>
    <t>franceschinimarzia@gmail.com</t>
  </si>
  <si>
    <t>GIRO DI PENNA S.R.L.</t>
  </si>
  <si>
    <t>VIA CASELLE, 3</t>
  </si>
  <si>
    <t>SAN LAZZARO DI SAVENA</t>
  </si>
  <si>
    <t>3347@GRUPPOBUFFETTI.IT</t>
  </si>
  <si>
    <t>P.C.SERVICE SAS DI ZANZI PAMELA &amp; C.</t>
  </si>
  <si>
    <t>VIA CALABRIA 8 /A</t>
  </si>
  <si>
    <t>BOLOGNA</t>
  </si>
  <si>
    <t>pcservicebologna@gmail.com</t>
  </si>
  <si>
    <t>PIANETA UFFICIO SNC</t>
  </si>
  <si>
    <t>VIA NAZIONALE 76</t>
  </si>
  <si>
    <t>PIANORO</t>
  </si>
  <si>
    <t>pianeta_ufficio@tin.it</t>
  </si>
  <si>
    <t>NUOVO PROGRAMMA UFFICIO SRL</t>
  </si>
  <si>
    <t>VIA GIUSEPPE MASSARENTI 162</t>
  </si>
  <si>
    <t>info@nuovoprogrammaufficio.it</t>
  </si>
  <si>
    <t>L'ARCOBALENO SRL</t>
  </si>
  <si>
    <t>VIA I MAGGIO, 44</t>
  </si>
  <si>
    <t>PORRETTA TERME</t>
  </si>
  <si>
    <t>info@larcobaleno.net</t>
  </si>
  <si>
    <t>EUROFFICE SNC DI MONTAGUTI PIERPAOLO &amp;C.</t>
  </si>
  <si>
    <t>PIAZZA LIBERTÀ, 16/1-16/2</t>
  </si>
  <si>
    <t>MONTEVEGLIO</t>
  </si>
  <si>
    <t>info@eurofficesnc.it</t>
  </si>
  <si>
    <t>NUOVA MAESTRI UFFICIO SRL</t>
  </si>
  <si>
    <t>VIA RAGAZZI DEL '99, 4/D</t>
  </si>
  <si>
    <t>info@maestriufficio.it</t>
  </si>
  <si>
    <t>LA CARTAIA DI SGARGI  SANDRA &amp; C. SNC</t>
  </si>
  <si>
    <t>VIA BONDANELLO, 16</t>
  </si>
  <si>
    <t>CASTEL MAGGIORE</t>
  </si>
  <si>
    <t>sandra.sgargi@lacartaia.191.it</t>
  </si>
  <si>
    <t>FULLOFFICE SRL</t>
  </si>
  <si>
    <t>VIA PADRE FRANCESCO M. GRIMALDI 6</t>
  </si>
  <si>
    <t>info@fullofficesrl.it</t>
  </si>
  <si>
    <t>TECNOCART DI ANTONIO NATALI &amp; C. S.A.S.</t>
  </si>
  <si>
    <t>VIA TOSARELLI 101 102</t>
  </si>
  <si>
    <t>CASTENASO</t>
  </si>
  <si>
    <t>negozio@tecnocartsas.it</t>
  </si>
  <si>
    <t>VP UFFICIO IN DI PILIA PAOLA</t>
  </si>
  <si>
    <t>VIA GIUSEPPE BENEDETTI, 27</t>
  </si>
  <si>
    <t>BUDRIO</t>
  </si>
  <si>
    <t>vpufficio@virgilio.it</t>
  </si>
  <si>
    <t>GIRO DI PENNA SRL</t>
  </si>
  <si>
    <t>VIA BARELLI, 4A/B</t>
  </si>
  <si>
    <t>maria.genovese@girodipenna.it</t>
  </si>
  <si>
    <t>MDM FORNITURE UFFICIO DI MARCO DI MAURO</t>
  </si>
  <si>
    <t>VIA DEGLI ORTI, 23C</t>
  </si>
  <si>
    <t>3371@gruppobuffetti.it</t>
  </si>
  <si>
    <t>VIA MARCONI, 18/B</t>
  </si>
  <si>
    <t>fabio-calcagno@libero.it</t>
  </si>
  <si>
    <t>VIA E. BERLINGUER, 98</t>
  </si>
  <si>
    <t>VERGATO</t>
  </si>
  <si>
    <t>F.LLI BIAGINI S.R.L.</t>
  </si>
  <si>
    <t>VIA GARIBALDI, 9B-C</t>
  </si>
  <si>
    <t>negozio.garibaldi@biagini.it</t>
  </si>
  <si>
    <t>VIA REPUBBLICA, 16B</t>
  </si>
  <si>
    <t>CASTEL SAN PIETRO TERME</t>
  </si>
  <si>
    <t>CONTE L'UFFICIO S.R.L.</t>
  </si>
  <si>
    <t>VIA BOLOGNA 21 /2</t>
  </si>
  <si>
    <t>CENTO</t>
  </si>
  <si>
    <t>FE</t>
  </si>
  <si>
    <t>info@conteufficio.it</t>
  </si>
  <si>
    <t>PIAZZI SNC DI PIAZZI NICOLETTA E MATTEO</t>
  </si>
  <si>
    <t>VIA BOLOGNA, 289</t>
  </si>
  <si>
    <t>FERRARA</t>
  </si>
  <si>
    <t>piazzisnc1@gmail.com</t>
  </si>
  <si>
    <t>MULTISYSTEM SRL</t>
  </si>
  <si>
    <t>VIALE CAVOUR 186 /188</t>
  </si>
  <si>
    <t>INFO@MULTISYSTEMSRL.IT</t>
  </si>
  <si>
    <t>BONDENO UFFICIO SNC DI PASSARELLI LUCA E BREVEGLIERI ALICE</t>
  </si>
  <si>
    <t>VIA DE AMICIS, 5/B</t>
  </si>
  <si>
    <t>BONDENO</t>
  </si>
  <si>
    <t>bondenoufficio@libero.it</t>
  </si>
  <si>
    <t>GIORI RICCARDO</t>
  </si>
  <si>
    <t>VIA GARIBALDI 22</t>
  </si>
  <si>
    <t>COPPARO</t>
  </si>
  <si>
    <t>buffetticopparo@virgilio.it</t>
  </si>
  <si>
    <t>PUNTO DUE SNC DI ERBACCI CLAUDIO &amp; C.</t>
  </si>
  <si>
    <t>VIA BERTINI, 74</t>
  </si>
  <si>
    <t>FORLÌ</t>
  </si>
  <si>
    <t>FC</t>
  </si>
  <si>
    <t>info@puntoduesnc.it</t>
  </si>
  <si>
    <t>OFFICE POINT DI MIGLIORINI ANTONINO</t>
  </si>
  <si>
    <t>VIA DUCA D'AOSTA, 82C</t>
  </si>
  <si>
    <t>FORLIMPOPOLI</t>
  </si>
  <si>
    <t>FO</t>
  </si>
  <si>
    <t>buffettiforlimpopoli@gmail.com</t>
  </si>
  <si>
    <t>VIA CARLO MATTEUCCI, 18</t>
  </si>
  <si>
    <t>FORLI'</t>
  </si>
  <si>
    <t>L'UFFICIO SAS DI CELLI MAURIZIO &amp; C.</t>
  </si>
  <si>
    <t>VIALE ROMA, 71/B</t>
  </si>
  <si>
    <t>CESENATICO</t>
  </si>
  <si>
    <t>bufficio@tin.it</t>
  </si>
  <si>
    <t>VIA GARIBALDI 7</t>
  </si>
  <si>
    <t>SAVIGNANO SUL RUBICONE</t>
  </si>
  <si>
    <t>lacontabilesrl@virgilio.it</t>
  </si>
  <si>
    <t>CUCCHI SAS DI CUCCHI ELISABETTA &amp; C.</t>
  </si>
  <si>
    <t>VIALE MATTEOTTI, 593</t>
  </si>
  <si>
    <t>CESENA</t>
  </si>
  <si>
    <t>cucchisas@gmail.com</t>
  </si>
  <si>
    <t>CENTRO UFFICIO DI PISCAGLIA MARIA CATERINA</t>
  </si>
  <si>
    <t>VIA UGO BRASCHI, 25</t>
  </si>
  <si>
    <t>SANTARCANGELO DI ROMAGNA</t>
  </si>
  <si>
    <t>RN</t>
  </si>
  <si>
    <t>mpisca@tin.it</t>
  </si>
  <si>
    <t>INFORMATICA HOME &amp; OFFICE DI MATTEO BRUSCHI</t>
  </si>
  <si>
    <t>VIA ROMA, 35</t>
  </si>
  <si>
    <t>BELLARIA IGEA MARINA</t>
  </si>
  <si>
    <t>buffettibellaria@ihao.it</t>
  </si>
  <si>
    <t>GROSSI SAS DI GROSSI MAURO, PAOLO &amp; C.</t>
  </si>
  <si>
    <t>PIAZZA DOSSI, 12 /15</t>
  </si>
  <si>
    <t>VISERBA</t>
  </si>
  <si>
    <t>info@grossimaurosas.it</t>
  </si>
  <si>
    <t>CARTOLIBRERIA BINDA DI PAGNINI GIOVANNA E C. SNC</t>
  </si>
  <si>
    <t>VIA XXIV MAGGIO 7</t>
  </si>
  <si>
    <t>CATTOLICA</t>
  </si>
  <si>
    <t>cartolibreriabinda@libero.it</t>
  </si>
  <si>
    <t>EMMEGI  DI MONTAGNA E GUIDUCCI S.N.C.</t>
  </si>
  <si>
    <t>PIAZZA LUIGI FERRARI, 22</t>
  </si>
  <si>
    <t>RIMINI</t>
  </si>
  <si>
    <t>ferrari@emmegirimini.it</t>
  </si>
  <si>
    <t>DIMENSIONE UFFICIO DI ALESSANDRO SEVERI</t>
  </si>
  <si>
    <t>VIALE EUROPA 596/600</t>
  </si>
  <si>
    <t>info@dimensioneufficiocesena.it</t>
  </si>
  <si>
    <t>PALMICE S.R.L.</t>
  </si>
  <si>
    <t>VIA MARECCHIESE, 74</t>
  </si>
  <si>
    <t>info@toprimini.it</t>
  </si>
  <si>
    <t>EMMEGI DI MONTAGNA E GUIDUCCI S.N.C.</t>
  </si>
  <si>
    <t>VIA FLAMINIA, 134</t>
  </si>
  <si>
    <t>emmegirimini.it</t>
  </si>
  <si>
    <t>VIA PASCUCCI, 115</t>
  </si>
  <si>
    <t>GAMBETTOLA</t>
  </si>
  <si>
    <t>MARTINELLI MODENA SRL</t>
  </si>
  <si>
    <t>VIALE CIRO MENOTTI, 84</t>
  </si>
  <si>
    <t>MODENA</t>
  </si>
  <si>
    <t>MO</t>
  </si>
  <si>
    <t>info@martinellimodena.com</t>
  </si>
  <si>
    <t>BONVICINI ROBERTO SNC DI BONVICINI DANIELE &amp; C.</t>
  </si>
  <si>
    <t>VIA MARCONI, 10</t>
  </si>
  <si>
    <t>PAVULLO NEL FRIGNANO</t>
  </si>
  <si>
    <t>info@robertobonvicini.it</t>
  </si>
  <si>
    <t>MARTINELLI SRL</t>
  </si>
  <si>
    <t>VIA SAN TOMMASO, 25</t>
  </si>
  <si>
    <t>SASSUOLO</t>
  </si>
  <si>
    <t>amministrazione@martinelli.it</t>
  </si>
  <si>
    <t>VIA TRENTO TRIESTE, 92C</t>
  </si>
  <si>
    <t>FORMIGINE</t>
  </si>
  <si>
    <t>formigine@martinellimodena.com</t>
  </si>
  <si>
    <t>VERDELLI PATRIZIA</t>
  </si>
  <si>
    <t>VIA  RANGONE CASTELNUOVO,  144</t>
  </si>
  <si>
    <t>SPILAMBERTO</t>
  </si>
  <si>
    <t>roberta@verdelli.it</t>
  </si>
  <si>
    <t>VIA GIARDINI 300</t>
  </si>
  <si>
    <t>viagiardini@martinellimodena.com</t>
  </si>
  <si>
    <t>VIA TRENTO TRIESTE, 1</t>
  </si>
  <si>
    <t>VIGNOLA</t>
  </si>
  <si>
    <t>vignola@martinellimodena.com</t>
  </si>
  <si>
    <t>VIA ROTTA, 14</t>
  </si>
  <si>
    <t>FINALE EMILIA</t>
  </si>
  <si>
    <t>POKER SRL</t>
  </si>
  <si>
    <t>VIA CATTANI SUD, 47</t>
  </si>
  <si>
    <t>CARPI</t>
  </si>
  <si>
    <t>amministrazione@pokersrl.com</t>
  </si>
  <si>
    <t>PC GLOBAL SERVICE SRL</t>
  </si>
  <si>
    <t>VIALE GRAMSCI, 347</t>
  </si>
  <si>
    <t>MIRANDOLA</t>
  </si>
  <si>
    <t>a.tinchelli@pcglobalservice.it</t>
  </si>
  <si>
    <t>BARRACCA OFFICE SRLS</t>
  </si>
  <si>
    <t>VIA DEI SARTI, 2/4</t>
  </si>
  <si>
    <t>CASTELFRANCO EMILIA</t>
  </si>
  <si>
    <t>amministrazione@barraccaoffice.it</t>
  </si>
  <si>
    <t>BEMA PROFESSIONE UFFICIO SNC DI BECCALORI GRAZIELLA &amp; C.</t>
  </si>
  <si>
    <t>VIA 25 APRILE, 21</t>
  </si>
  <si>
    <t>FIDENZA</t>
  </si>
  <si>
    <t>PR</t>
  </si>
  <si>
    <t>bemaprofessioneufficio@bemaprofessioneufficio.it</t>
  </si>
  <si>
    <t>MARTINELLI SPA</t>
  </si>
  <si>
    <t>VIA SAN LEONARDO, 36</t>
  </si>
  <si>
    <t>PARMA</t>
  </si>
  <si>
    <t>LA CONTABILE SPA</t>
  </si>
  <si>
    <t>VIA PINI, 6B</t>
  </si>
  <si>
    <t>3728@gruppobuffetti.it</t>
  </si>
  <si>
    <t>MAYA  S.A.S. DI FLORETTI SILVIA &amp; C.</t>
  </si>
  <si>
    <t>VIA 25 APRILE, 4</t>
  </si>
  <si>
    <t>SALSOMAGGIORE TERME</t>
  </si>
  <si>
    <t>info@mayaufficio.it</t>
  </si>
  <si>
    <t>EUROTECNO SNC DI FERRARI A. E FERRARI S.</t>
  </si>
  <si>
    <t>VIA RISORGIMENTO 29</t>
  </si>
  <si>
    <t>FIORENZUOLA D'ARDA</t>
  </si>
  <si>
    <t>PC</t>
  </si>
  <si>
    <t>eurotecnofiorenzuola@gmail.com</t>
  </si>
  <si>
    <t>FOR.U.M. SAS DI CAVALLI MASSIMO &amp; C.</t>
  </si>
  <si>
    <t>VIA COLOMBO, 43</t>
  </si>
  <si>
    <t>PIACENZA</t>
  </si>
  <si>
    <t>forumpc@forumpc.it</t>
  </si>
  <si>
    <t>SCHERZ SAS DI GIRARDELLI RITA MARIA &amp; C</t>
  </si>
  <si>
    <t>VIA QUATTRO NOVEMBRE, 54/C</t>
  </si>
  <si>
    <t>r.scherz@scherz.it</t>
  </si>
  <si>
    <t>PRISMA SRL</t>
  </si>
  <si>
    <t>VIA FORO BOARIO 35/37</t>
  </si>
  <si>
    <t>LUGO</t>
  </si>
  <si>
    <t>RA</t>
  </si>
  <si>
    <t>lugo@prismateam.it</t>
  </si>
  <si>
    <t>VIA GRADENIGO 2</t>
  </si>
  <si>
    <t>RAVENNA</t>
  </si>
  <si>
    <t>info@puntoufficio.it</t>
  </si>
  <si>
    <t>BRAVACCINI M.&amp; RONCONI C. SNC</t>
  </si>
  <si>
    <t>VIALE DEI MILLE, 30</t>
  </si>
  <si>
    <t>CERVIA</t>
  </si>
  <si>
    <t>info@deimille30.it</t>
  </si>
  <si>
    <t>MANCINI &amp; CO. SRL</t>
  </si>
  <si>
    <t>VIA FAENTINA, 28</t>
  </si>
  <si>
    <t>amministrazione@manciniandco.net</t>
  </si>
  <si>
    <t>VIA CITTADINI  1/A</t>
  </si>
  <si>
    <t>FAENZA</t>
  </si>
  <si>
    <t>faenza@prismateam.it</t>
  </si>
  <si>
    <t>CASTAGNOLI GIOVANNI SAS DI CASTAGNOLI ALESSANDRA &amp; C.</t>
  </si>
  <si>
    <t>CORSO MAZZINI 197</t>
  </si>
  <si>
    <t>castagnoli@evomail.it</t>
  </si>
  <si>
    <t>TRESI S.R.L.</t>
  </si>
  <si>
    <t>VIA EMILIA LEVANTE, 355</t>
  </si>
  <si>
    <t>CASTEL BOLOGNESE</t>
  </si>
  <si>
    <t>tresisrl@gmail.com</t>
  </si>
  <si>
    <t>IL PAPIRO SAS</t>
  </si>
  <si>
    <t>PIAZZA DELLA REPUBBLICA 27/28</t>
  </si>
  <si>
    <t>SANT'ILARIO D'ENZA</t>
  </si>
  <si>
    <t>RE</t>
  </si>
  <si>
    <t>papirosrl@libero.it</t>
  </si>
  <si>
    <t>DELLA SALDA SAS DI DELLA SALDA CRISTINA &amp; C.</t>
  </si>
  <si>
    <t>VIA GONZAGA, 31/A</t>
  </si>
  <si>
    <t>GUASTALLA</t>
  </si>
  <si>
    <t>dellasalda@libero.it</t>
  </si>
  <si>
    <t>VIA CAFIERO, 12</t>
  </si>
  <si>
    <t>REGGIO EMILIA</t>
  </si>
  <si>
    <t>fornitori@lacontabile.net</t>
  </si>
  <si>
    <t>TECNOMARKET CATELLANI FRANCO SNC DI CATELLANI FRANCO &amp; C.</t>
  </si>
  <si>
    <t>VIA EMILIA OVEST 17</t>
  </si>
  <si>
    <t>RUBIERA</t>
  </si>
  <si>
    <t>elena.catellani@tecnomarketrubiera.it</t>
  </si>
  <si>
    <t>GALLERIA CAVOUR, 1 /E-G-H-</t>
  </si>
  <si>
    <t>L'ARCHIVIO SAS DI GALLINGANI VALERIA &amp; C</t>
  </si>
  <si>
    <t>VIA GRAMSCI 68</t>
  </si>
  <si>
    <t>CASTELNOVO DI SOTTO</t>
  </si>
  <si>
    <t>archivio.buffetti@libero.it</t>
  </si>
  <si>
    <t>VIALE PISTONI, 10 A/B/C</t>
  </si>
  <si>
    <t>SCANDIANO</t>
  </si>
  <si>
    <t>POKER S.R.L.</t>
  </si>
  <si>
    <t>VIA FOSSE ARDEATINE, 2 /A</t>
  </si>
  <si>
    <t>CORREGGIO</t>
  </si>
  <si>
    <t>VIA ANDREA COSTA, 7</t>
  </si>
  <si>
    <t>NOVELLARA</t>
  </si>
  <si>
    <t>novellara@pokersrl.com</t>
  </si>
  <si>
    <t>VIGNOLI SNC LIBRERIA CARTOLER. DI FABBRINI NICOLETTA &amp; C.</t>
  </si>
  <si>
    <t>LARGO I MAGGIO, 12/14</t>
  </si>
  <si>
    <t>AREZZO</t>
  </si>
  <si>
    <t>AR</t>
  </si>
  <si>
    <t>09 - Toscana</t>
  </si>
  <si>
    <t>4111@gruppobuffetti.it</t>
  </si>
  <si>
    <t>SFORAZZINI ANITA SNC DI SFORAZZINI ANITA &amp; C.</t>
  </si>
  <si>
    <t>VIA LOUIS PASTEUR, 41-43</t>
  </si>
  <si>
    <t>MONTEVARCHI</t>
  </si>
  <si>
    <t>info@sforazzini.it</t>
  </si>
  <si>
    <t>LINEA CONTABILE SRL</t>
  </si>
  <si>
    <t>VIA BOLOGNA, 23</t>
  </si>
  <si>
    <t>lineacontabile@tin.it</t>
  </si>
  <si>
    <t>IL COMPASSO SNC DI DELLA SCALA E MUCCIARINI</t>
  </si>
  <si>
    <t>VIA ROMA, 40</t>
  </si>
  <si>
    <t>TERRANUOVA BRACCIOLINI</t>
  </si>
  <si>
    <t>ilcompasso@technet.it</t>
  </si>
  <si>
    <t>IDEE UFFICIO SNC DI ALBERTI RAFFAELLA</t>
  </si>
  <si>
    <t>VIA DOGANA VECCHIA 1</t>
  </si>
  <si>
    <t>SAN SEPOLCRO</t>
  </si>
  <si>
    <t>ideeufficio@libero.it</t>
  </si>
  <si>
    <t>CARTARIA FIORENTINA INGROSSO SRL</t>
  </si>
  <si>
    <t>VIA DON LORENZO PEROSI, 23</t>
  </si>
  <si>
    <t>SCANDICCI</t>
  </si>
  <si>
    <t>FI</t>
  </si>
  <si>
    <t>cartfior@tin.it</t>
  </si>
  <si>
    <t>CARTOLIBRERIA EUROPA SAS DI DADDI CARLO &amp; C.</t>
  </si>
  <si>
    <t>VIALE EUROPA, 107</t>
  </si>
  <si>
    <t>FIRENZE</t>
  </si>
  <si>
    <t>business@carteuropa.it</t>
  </si>
  <si>
    <t>UFFICIO MODERNO DI CAMPI SRL</t>
  </si>
  <si>
    <t>VIA CETINO 18 -20-22</t>
  </si>
  <si>
    <t>CAMPI BISENZIO</t>
  </si>
  <si>
    <t>buffetti.campi@tin.it</t>
  </si>
  <si>
    <t>PUNTO CONTABILE SNC DI CIOPPI GIOVANNI &amp; C.</t>
  </si>
  <si>
    <t>VIA MAGNOLFI 39</t>
  </si>
  <si>
    <t>PRATO</t>
  </si>
  <si>
    <t>PO</t>
  </si>
  <si>
    <t>buffetti.prato@virgilio.it</t>
  </si>
  <si>
    <t>CRI-AL  SAS DI LAVORINI C.&amp; A. &amp; C.</t>
  </si>
  <si>
    <t>VIALE DON GIOVANNI MINZONI 40 N</t>
  </si>
  <si>
    <t>crialassistenza@libero.it</t>
  </si>
  <si>
    <t>IMMAGINE UFFICIO SNC</t>
  </si>
  <si>
    <t>VIA F. FERRUCCI, 268/270</t>
  </si>
  <si>
    <t>buffetti@immagineufficio.it</t>
  </si>
  <si>
    <t>SOLUZIONI UFFICIO FIRENZE SRL</t>
  </si>
  <si>
    <t>VIA FRANCESCO BARACCA 7</t>
  </si>
  <si>
    <t>info@soluzioniufficio.eu</t>
  </si>
  <si>
    <t>CARTOLERIA COMMERCIALE G.T DI GUARDINI ANNA</t>
  </si>
  <si>
    <t>VIA DELLA COSTITUZIONE 2</t>
  </si>
  <si>
    <t>FUCECCHIO</t>
  </si>
  <si>
    <t>buffettifucecchio@virgilio.it</t>
  </si>
  <si>
    <t>DALMAZIA UFFICIO DI DADDI GABRIELE</t>
  </si>
  <si>
    <t>VIA VITTORIO EMANUELE II, 64 /R</t>
  </si>
  <si>
    <t>4252@gruppobuffetti.it</t>
  </si>
  <si>
    <t>GRUPPO SPA DI PETTINI PATRIZIO E C.SAS</t>
  </si>
  <si>
    <t>VIA FRATELLI RUFFINI, 1 /R</t>
  </si>
  <si>
    <t>info@gruppospa.eu</t>
  </si>
  <si>
    <t>GRAFIKART DI TARGETTI R.  E MANETTI  A.   S.A.S.</t>
  </si>
  <si>
    <t>VIA DINO CAMPANA, 24</t>
  </si>
  <si>
    <t>LASTRA A SIGNA</t>
  </si>
  <si>
    <t>grafikartsas@yahoo.it</t>
  </si>
  <si>
    <t>MASCAGNI FORNITURE DI MASCAGNI MASSIMILIANO</t>
  </si>
  <si>
    <t>VIALE MATTEOTTI, 30-32</t>
  </si>
  <si>
    <t>CERTALDO</t>
  </si>
  <si>
    <t>info@mascagniforniture.it</t>
  </si>
  <si>
    <t>B &amp; B UFFICIO SRL</t>
  </si>
  <si>
    <t>VIA XI FEBBRAIO, 52</t>
  </si>
  <si>
    <t>EMPOLI</t>
  </si>
  <si>
    <t>info@beb-ufficiosrl.it</t>
  </si>
  <si>
    <t>L'UFFICIO MODERNO DELL'ETRURIA SAS DI ANSELMI F.E VARRICCHIO V.</t>
  </si>
  <si>
    <t>VIA DE PRETIS, 10/16</t>
  </si>
  <si>
    <t>GROSSETO</t>
  </si>
  <si>
    <t>GR</t>
  </si>
  <si>
    <t>fabioanselmi@hotmail.it</t>
  </si>
  <si>
    <t>VECCHIARELLI LORIANO DI ALESSANDRA VECCHIARELLI</t>
  </si>
  <si>
    <t>VIA NORMA PRATELLI, 3</t>
  </si>
  <si>
    <t>FOLLONICA</t>
  </si>
  <si>
    <t>loriano.vecchiarelli@libero.it</t>
  </si>
  <si>
    <t>PUNTO DUE DI SILEONI ALBERTA</t>
  </si>
  <si>
    <t>VIA INDIPENDENZA, 51 A</t>
  </si>
  <si>
    <t>VENTURINA</t>
  </si>
  <si>
    <t>LI</t>
  </si>
  <si>
    <t>alberta.sileoni@tin.it</t>
  </si>
  <si>
    <t>CARTOLERIA CARRARESI SAS DI ALESSIO CARRARESI &amp; C.</t>
  </si>
  <si>
    <t>VIA DEI LANZI 15</t>
  </si>
  <si>
    <t>LIVORNO</t>
  </si>
  <si>
    <t>alessio.carraresi@gmail.com</t>
  </si>
  <si>
    <t>TUTTO UFFICIO DI RUSSO MARIA  SEBASTIANA</t>
  </si>
  <si>
    <t>VIA AURELIA, 338</t>
  </si>
  <si>
    <t>ROSIGNANO SOLVAY</t>
  </si>
  <si>
    <t>marinarusso02@virgilio.it</t>
  </si>
  <si>
    <t>DI BELLA SRLS</t>
  </si>
  <si>
    <t>CORSO MATTEOTTI, 231A</t>
  </si>
  <si>
    <t>CECINA</t>
  </si>
  <si>
    <t>dibella.davide@tiscali.it</t>
  </si>
  <si>
    <t>VANNUCCI IVANA SRL</t>
  </si>
  <si>
    <t>VIA CARPANI, 43</t>
  </si>
  <si>
    <t>PORTOFERRAIO</t>
  </si>
  <si>
    <t>vannuccivana@tiscali.it</t>
  </si>
  <si>
    <t>MENCHINI ELISA</t>
  </si>
  <si>
    <t>PIAZZA MATTEOTTI, 72</t>
  </si>
  <si>
    <t>QUERCETA</t>
  </si>
  <si>
    <t>LU</t>
  </si>
  <si>
    <t>menchibuff@tiscalinet.it</t>
  </si>
  <si>
    <t>EFFEPI SAS DI BRESCIANI GIUSEPPE &amp; C.</t>
  </si>
  <si>
    <t>VIA SAURO, 1</t>
  </si>
  <si>
    <t>PIETRASANTA</t>
  </si>
  <si>
    <t>effepibuffetti@fastwebnet.it</t>
  </si>
  <si>
    <t>CENTRO UFFICIO DI CASANOVA GRAZIA</t>
  </si>
  <si>
    <t>VIA GIACOMO PUCCINI  1997</t>
  </si>
  <si>
    <t>PORCARI</t>
  </si>
  <si>
    <t>centroufficio@tin.it</t>
  </si>
  <si>
    <t>VIANI SRL</t>
  </si>
  <si>
    <t>PIAZZA MAZZINI, 17-19</t>
  </si>
  <si>
    <t>VIAREGGIO</t>
  </si>
  <si>
    <t>info@vianionline.it</t>
  </si>
  <si>
    <t>L.C.  SRL</t>
  </si>
  <si>
    <t>VIA MAZZINI 120</t>
  </si>
  <si>
    <t>LUCCA</t>
  </si>
  <si>
    <t>lc@lineacontabile.it</t>
  </si>
  <si>
    <t>VIA LEOPOLDO NOBILI</t>
  </si>
  <si>
    <t>CASTELNUOVO DI GARFAGNANA</t>
  </si>
  <si>
    <t>buffetticastelnuovo@alice.it</t>
  </si>
  <si>
    <t>RAG. E.SPEDIACCI SUCCESSORI DI F.SPEDIACCI &amp; C. SNC</t>
  </si>
  <si>
    <t>PIAZZA 2 GIUGNO, 13</t>
  </si>
  <si>
    <t>CARRARA</t>
  </si>
  <si>
    <t>MS</t>
  </si>
  <si>
    <t>e.spediacci@fastwebnet.it</t>
  </si>
  <si>
    <t>SEGESAC SRL</t>
  </si>
  <si>
    <t>VIA MARINA VECCHIA,VIA   P.</t>
  </si>
  <si>
    <t>MASSA</t>
  </si>
  <si>
    <t>segesac@segesac.it</t>
  </si>
  <si>
    <t>FORNITURE UFFICIO RAG.BACCHERETI DI BACCHERETI MASSIMO &amp; C.</t>
  </si>
  <si>
    <t>PIAZZA DEL POPOLO, 9</t>
  </si>
  <si>
    <t>SANTA CROCE SULL'ARNO</t>
  </si>
  <si>
    <t>PI</t>
  </si>
  <si>
    <t>amministrazionefornitori@baccheretisas.it</t>
  </si>
  <si>
    <t>GRAFIKART PROGRAMMA UFFICIO SRL</t>
  </si>
  <si>
    <t>VIALE COMASCHI, 49</t>
  </si>
  <si>
    <t>CASCINA</t>
  </si>
  <si>
    <t>info@grafikartufficio.it</t>
  </si>
  <si>
    <t>AZ  DEL RAG. MARINAI MANUELA &amp; C. SAS</t>
  </si>
  <si>
    <t>VIA PROVINCIALE SUD,25</t>
  </si>
  <si>
    <t>CASTELFRANCO DI SOTTO</t>
  </si>
  <si>
    <t>az@azcastelfranco.eu</t>
  </si>
  <si>
    <t>GIANI MILA SNC</t>
  </si>
  <si>
    <t>VIALE ITALIA, 58</t>
  </si>
  <si>
    <t>PONSACCO</t>
  </si>
  <si>
    <t>amministrazione@gianimila.it</t>
  </si>
  <si>
    <t>VIA DANTE 57 57/A</t>
  </si>
  <si>
    <t>PONTEDERA</t>
  </si>
  <si>
    <t>4720@gruppobuffetti.it</t>
  </si>
  <si>
    <t>MONTI ROBERTA</t>
  </si>
  <si>
    <t>VIA FERRANTE APORTI, 34/A/B/</t>
  </si>
  <si>
    <t>SAN MINIATO</t>
  </si>
  <si>
    <t>m.montiroberta@tin.it</t>
  </si>
  <si>
    <t>CENTRO SERVIZI SAS DI SANTERINI MORENA &amp; C.</t>
  </si>
  <si>
    <t>Via Benedetto Croce, 41-43</t>
  </si>
  <si>
    <t>PISA</t>
  </si>
  <si>
    <t>centroservizipisa@yahoo.it</t>
  </si>
  <si>
    <t>TECNOPOINT SAS DI SEMERARO COSIMO &amp; C.</t>
  </si>
  <si>
    <t>VIALE ADUA, 130 B</t>
  </si>
  <si>
    <t>PISTOIA</t>
  </si>
  <si>
    <t>PT</t>
  </si>
  <si>
    <t>tecnopointpt@tiscali.it</t>
  </si>
  <si>
    <t>OFFICE CENTER DI DRINGOLI ALESSANDRO</t>
  </si>
  <si>
    <t>VIA AMENDOLA, 19</t>
  </si>
  <si>
    <t>SINALUNGA</t>
  </si>
  <si>
    <t>officecenter62@virgilio.it</t>
  </si>
  <si>
    <t>VIALE TOSELLI, 33</t>
  </si>
  <si>
    <t>SIENA</t>
  </si>
  <si>
    <t>centroufficio@centroufficio.org</t>
  </si>
  <si>
    <t>TUSCANY OFFICE SAS DI CESARINI GRAZIA ANGELICA &amp; C.</t>
  </si>
  <si>
    <t>VIALE G. DI VITTORIO, 39</t>
  </si>
  <si>
    <t>CHIANCIANO TERME</t>
  </si>
  <si>
    <t>tuscanyoffice@libero.it</t>
  </si>
  <si>
    <t>ESSE DI PAOLUCCI FAUSTO</t>
  </si>
  <si>
    <t>PIAZZA NAZIONI UNITE, 27</t>
  </si>
  <si>
    <t>TORRITA DI SIENA</t>
  </si>
  <si>
    <t>esse.torrita@tin.it</t>
  </si>
  <si>
    <t>CENTRO TECNOCONTABILE SNC DI CECCACCI G. &amp; M.</t>
  </si>
  <si>
    <t>VIA CAMPO DI MARTE, 158-A</t>
  </si>
  <si>
    <t>PERUGIA</t>
  </si>
  <si>
    <t>PG</t>
  </si>
  <si>
    <t>10 - Umbria</t>
  </si>
  <si>
    <t>centrotecnocontabile@fastwebnet.it</t>
  </si>
  <si>
    <t>PACI F.LLI SNC</t>
  </si>
  <si>
    <t>VIA PIERO DELLA FRANCESCA,15</t>
  </si>
  <si>
    <t>CITTA' DI CASTELLO</t>
  </si>
  <si>
    <t>f.llipaci@libero.it</t>
  </si>
  <si>
    <t>LINEA UFFICIO SAS DI BRIZIOLI PAOLA &amp; C.</t>
  </si>
  <si>
    <t>VIA TIBERINA 21-23</t>
  </si>
  <si>
    <t>TODI</t>
  </si>
  <si>
    <t>info@lineaufficiotodi.it</t>
  </si>
  <si>
    <t>CENTRO TECNOCONTAB. S.N.C. di  CECCACCI  G.   M.</t>
  </si>
  <si>
    <t>VIA GIOVANNI SEBASTIANO BACH 8 /10</t>
  </si>
  <si>
    <t>centrotec@infinito.it</t>
  </si>
  <si>
    <t>IN.SER.T. SRL</t>
  </si>
  <si>
    <t>VIA MARTIRI DELLA LIBERTÀ, 6</t>
  </si>
  <si>
    <t>UMBERTIDE</t>
  </si>
  <si>
    <t>contab@insertsrl.com</t>
  </si>
  <si>
    <t>MAPASA SNC DI SALVIA FRANCO &amp; C.</t>
  </si>
  <si>
    <t>VIALE DON BOSCO, 72 /78</t>
  </si>
  <si>
    <t>GUALDO TADINO</t>
  </si>
  <si>
    <t>mapasa01@mapasasnc.191.it</t>
  </si>
  <si>
    <t>PAPERMANIA DI ALESSANDRA CASTELLANI SNC</t>
  </si>
  <si>
    <t>VIA LEONARDO DA VINCI, 12</t>
  </si>
  <si>
    <t>GUBBIO</t>
  </si>
  <si>
    <t>negozio@papermania.it</t>
  </si>
  <si>
    <t>LA CONTABILE S.R.L.</t>
  </si>
  <si>
    <t>VIA S. COSTANZO, 18</t>
  </si>
  <si>
    <t>BASTIA UMBRA</t>
  </si>
  <si>
    <t>contab@centroufficioweb.com</t>
  </si>
  <si>
    <t>CENTROUFFICIO SRL</t>
  </si>
  <si>
    <t>VIA A. MANZONI, 202/204</t>
  </si>
  <si>
    <t>PONTE SAN GIOVANNI</t>
  </si>
  <si>
    <t>ANGICART SNC DI TESTA GIOVANNI E C.</t>
  </si>
  <si>
    <t>VIA GRUMELLI, 2</t>
  </si>
  <si>
    <t>FOLIGNO</t>
  </si>
  <si>
    <t>angicart@libero.it</t>
  </si>
  <si>
    <t>SOC.CARTOTECNICA SAS DI TORRONI GIANLUCA &amp; C.</t>
  </si>
  <si>
    <t>VIA MONTE NIBBIO, 18</t>
  </si>
  <si>
    <t>ORVIETO SCALO</t>
  </si>
  <si>
    <t>TR</t>
  </si>
  <si>
    <t>cartotecnica@libero.it</t>
  </si>
  <si>
    <t>LINEA UFFICIO DI CINTI DANIELE</t>
  </si>
  <si>
    <t>VIA ALDO BARTOCCI, 10/12</t>
  </si>
  <si>
    <t>TERNI</t>
  </si>
  <si>
    <t>info@lineaufficioterni.com</t>
  </si>
  <si>
    <t>LINEA UFFICIO SRL</t>
  </si>
  <si>
    <t>VIA C. GOLDONI, 15/17</t>
  </si>
  <si>
    <t>5119@gruppobuffetti.it</t>
  </si>
  <si>
    <t>CARDINALI GABRIELA</t>
  </si>
  <si>
    <t>VIA GARIBALDI, 88-90</t>
  </si>
  <si>
    <t>JESI</t>
  </si>
  <si>
    <t>AN</t>
  </si>
  <si>
    <t>11 - Marche</t>
  </si>
  <si>
    <t>g.cardinali@tin.it</t>
  </si>
  <si>
    <t>IL PUNTO CONTABILE SRL</t>
  </si>
  <si>
    <t>VIA M. DELLA RESISTENZA, 66</t>
  </si>
  <si>
    <t>ANCONA</t>
  </si>
  <si>
    <t>info@ilpuntocontabilesas.com</t>
  </si>
  <si>
    <t>FORLANI KATIUSCIA</t>
  </si>
  <si>
    <t>VIA MATTEOTTI 106/108</t>
  </si>
  <si>
    <t>katiuscia.forlani@tin.it</t>
  </si>
  <si>
    <t>CAPRIONI S.R.L.</t>
  </si>
  <si>
    <t>VIA PRIMO MAGGIO 20</t>
  </si>
  <si>
    <t>buffetti@caprioni.com</t>
  </si>
  <si>
    <t>VIA MARCO POLO,17/19</t>
  </si>
  <si>
    <t>OSIMO</t>
  </si>
  <si>
    <t>IL CENTRO F.B. SRL</t>
  </si>
  <si>
    <t>VIALE DELLA VITTORIA, 7A</t>
  </si>
  <si>
    <t>info@ilcentrofb.it</t>
  </si>
  <si>
    <t>SEVERINI SRL</t>
  </si>
  <si>
    <t>VIA FLAMINIA, 526</t>
  </si>
  <si>
    <t>FALCONARA MARITTIMA</t>
  </si>
  <si>
    <t>severbruno@tin.it</t>
  </si>
  <si>
    <t>OFFICEMARKET S.R.L.</t>
  </si>
  <si>
    <t>VIA BORGO LEOPARDI 49</t>
  </si>
  <si>
    <t>SERRA DE' CONTI</t>
  </si>
  <si>
    <t>officemarketsas@libero.it</t>
  </si>
  <si>
    <t>CENTRO UFFICIO SCUOLA CESARETTI CARLA</t>
  </si>
  <si>
    <t>VIALE GIORDANO BRUNO, 18</t>
  </si>
  <si>
    <t>SENIGALLIA</t>
  </si>
  <si>
    <t>centroufficioscuola@virgilio.it</t>
  </si>
  <si>
    <t>CARTOLIBRERIA CERNIERI DI CERNIERI GIORGIO</t>
  </si>
  <si>
    <t>VIA DELLA REPUBBLICA, 10</t>
  </si>
  <si>
    <t>CHIARAVALLE</t>
  </si>
  <si>
    <t>buffetti.chiaravalle@gmail.com</t>
  </si>
  <si>
    <t>LA NUOVA SCUOLA DI MANCIOLA SILVIO</t>
  </si>
  <si>
    <t>VIA RESPIGHI, 16</t>
  </si>
  <si>
    <t>FERMO</t>
  </si>
  <si>
    <t>FM</t>
  </si>
  <si>
    <t>lnscuolamanciola@tin.it</t>
  </si>
  <si>
    <t>DUEBBI SNC DI BIANCHINI ROBERTA &amp; C.</t>
  </si>
  <si>
    <t>VIA UMBERTO I, 62</t>
  </si>
  <si>
    <t>PORTO SANT'ELPIDIO</t>
  </si>
  <si>
    <t>5330@gruppobuffetti.it</t>
  </si>
  <si>
    <t>A...Z UFFICIO SNC DI CALENDI MALAVOLTA CAPRIOTTI</t>
  </si>
  <si>
    <t>VIA MONTELLO 74</t>
  </si>
  <si>
    <t>SAN BENEDETTO DEL TRONTO</t>
  </si>
  <si>
    <t>AP</t>
  </si>
  <si>
    <t>info@azetaufficio.it</t>
  </si>
  <si>
    <t>UFFICIOPIU' DI APOLLONI GIORGIO</t>
  </si>
  <si>
    <t>VIA F PETRARCA, 8</t>
  </si>
  <si>
    <t>PORTO SAN GIORGIO</t>
  </si>
  <si>
    <t>ufficiopiudiapolloni@tiscali.it</t>
  </si>
  <si>
    <t>UFFICIO 2000 DI PANGRAZI FLAVIO</t>
  </si>
  <si>
    <t>LARGO G. CONTI, 1</t>
  </si>
  <si>
    <t>MONTEGRANARO</t>
  </si>
  <si>
    <t>info@ufficio2000.net</t>
  </si>
  <si>
    <t>UNITECNICA DI ANGELINI FRANCESCO</t>
  </si>
  <si>
    <t>VIA DELLA REPUBBLICA, 29</t>
  </si>
  <si>
    <t>ASCOLI PICENO</t>
  </si>
  <si>
    <t>angelinifg@gmail.com</t>
  </si>
  <si>
    <t>BIEFFE DI BRANCADORI FABRIZIO</t>
  </si>
  <si>
    <t>VIA SANDRO PERTINI, 7</t>
  </si>
  <si>
    <t>TOLENTINO</t>
  </si>
  <si>
    <t>MC</t>
  </si>
  <si>
    <t>bieffe@tolentino.net</t>
  </si>
  <si>
    <t>CENTRO UFFICIO SNC DI CARRADORI GUIDO &amp; C.</t>
  </si>
  <si>
    <t>VIA GRIFONI, 19</t>
  </si>
  <si>
    <t>MATELICA</t>
  </si>
  <si>
    <t>centro.ufficio.snc@virgilio.it</t>
  </si>
  <si>
    <t>EUROUFFICIO SNC DI MARABINI MARIO &amp; C.</t>
  </si>
  <si>
    <t>VIA ALDO MORO, 48</t>
  </si>
  <si>
    <t>RECANATI</t>
  </si>
  <si>
    <t>euroufficiorecanati@tin.it</t>
  </si>
  <si>
    <t>NUOVA EFFETRE SRL</t>
  </si>
  <si>
    <t>VIA CIOCI, 11</t>
  </si>
  <si>
    <t>MACERATA</t>
  </si>
  <si>
    <t>effetre@effetre.net</t>
  </si>
  <si>
    <t>IL REGISTRO DUE SRL</t>
  </si>
  <si>
    <t>VIA FLAMINIA, 67</t>
  </si>
  <si>
    <t>CALCINELLI</t>
  </si>
  <si>
    <t>PU</t>
  </si>
  <si>
    <t>ilregistro.due@libero.it</t>
  </si>
  <si>
    <t>VIA FLAMINIA, 1</t>
  </si>
  <si>
    <t>FANO</t>
  </si>
  <si>
    <t>ilregistroduefano@libero.it</t>
  </si>
  <si>
    <t>EMMEBI UFFICIO SRL</t>
  </si>
  <si>
    <t>VIA CASILINA KM 63</t>
  </si>
  <si>
    <t>ANAGNI</t>
  </si>
  <si>
    <t>FR</t>
  </si>
  <si>
    <t>SU - Sud</t>
  </si>
  <si>
    <t>e.emmebiufficiosrl@tin.it</t>
  </si>
  <si>
    <t>TEOREMA DI VANIA CANCELLI</t>
  </si>
  <si>
    <t>VIA DELLA REPUBBLICA, 14</t>
  </si>
  <si>
    <t>SORA</t>
  </si>
  <si>
    <t>buffettisora@gmail.com</t>
  </si>
  <si>
    <t>BENOFFICE SRL</t>
  </si>
  <si>
    <t>VIA DEI VOLSCI, 29 GIA' VIA DEI MONTI LEPINI KM 0,200</t>
  </si>
  <si>
    <t>FROSINONE</t>
  </si>
  <si>
    <t>buffetti.benofficesrl@gmail.com</t>
  </si>
  <si>
    <t>LA PIRAMIDE 84 SRL</t>
  </si>
  <si>
    <t>VIA LOMBARDIA, 27</t>
  </si>
  <si>
    <t>CASSINO</t>
  </si>
  <si>
    <t>LAPIRAMIDE84@LIBERO.IT</t>
  </si>
  <si>
    <t>LINEA UFFICIO SAS DI CAPURSO G.&amp; C.</t>
  </si>
  <si>
    <t>VIA UMBERTO I, 58/60</t>
  </si>
  <si>
    <t>LATINA</t>
  </si>
  <si>
    <t>LT</t>
  </si>
  <si>
    <t>lineaufficio.latina@gmail.com</t>
  </si>
  <si>
    <t>PIERONI SAS DI A.&amp; S. SANGUIGNI &amp; C.</t>
  </si>
  <si>
    <t>VIA PALERMO, 5-7</t>
  </si>
  <si>
    <t>TERRACINA</t>
  </si>
  <si>
    <t>cartolibreria.pieroni@virgilio.it</t>
  </si>
  <si>
    <t>INFORMATICA UFFICIO SNC DI ROBERTO RIPANI &amp; C.</t>
  </si>
  <si>
    <t>VIA MATTEOTTI, 43</t>
  </si>
  <si>
    <t>APRILIA</t>
  </si>
  <si>
    <t>Inform.ufficio@gmail.com</t>
  </si>
  <si>
    <t>TUTTOUFFICIO SAS DI CAPURSO LUCIANO</t>
  </si>
  <si>
    <t>VIALE XVIII DICEMBRE, 49  ANG V.CARTURAN</t>
  </si>
  <si>
    <t>tuttoufficio.latina@tin.it</t>
  </si>
  <si>
    <t>GRAFICA BIANCONI SNC DI CONTI ANTONIO &amp; FABIO</t>
  </si>
  <si>
    <t>VIALE R. CAMILLA 21</t>
  </si>
  <si>
    <t>PRIVERNO</t>
  </si>
  <si>
    <t>graficabianconi@virgilio.it</t>
  </si>
  <si>
    <t>GIORDANI IRENE</t>
  </si>
  <si>
    <t>CORSO DELLA REPUBBLICA, 266</t>
  </si>
  <si>
    <t>CISTERNA DI LATINA</t>
  </si>
  <si>
    <t>giordaniconcbuffetti@gmail.com</t>
  </si>
  <si>
    <t>PIAZZA DELLA REPUBBLICA, 1</t>
  </si>
  <si>
    <t>RIETI</t>
  </si>
  <si>
    <t>RI</t>
  </si>
  <si>
    <t>buffettirieti@hotmail.com</t>
  </si>
  <si>
    <t>PUNTO SCUOLAUFFICIO SNC DI COLLI SIMONETTA &amp; EGIDI ENZO</t>
  </si>
  <si>
    <t>PIAZZA MARTIRI LIBERTA, 17</t>
  </si>
  <si>
    <t>POGGIO MIRTETO</t>
  </si>
  <si>
    <t>puntoscuolaufficiosnc@gmail.com</t>
  </si>
  <si>
    <t>LA RISORGENTE DI LUIGI FABIO E BANDIERA MARCO S.N.C.</t>
  </si>
  <si>
    <t>VIA GIOVANNI P. DA PALESTRINA, 66</t>
  </si>
  <si>
    <t>larisorgente@libero.it</t>
  </si>
  <si>
    <t>ELLESSE &amp; D.  SRL</t>
  </si>
  <si>
    <t>PIAZZA ESCHILO, 54</t>
  </si>
  <si>
    <t>axabuffetti@gmail.com</t>
  </si>
  <si>
    <t>TUTTOUFFICIO SNC DI BIANCALANA SIMONA E C.</t>
  </si>
  <si>
    <t>LARGO PLEBISCITO, 11</t>
  </si>
  <si>
    <t>CIVITAVECCHIA</t>
  </si>
  <si>
    <t>civitavecchia@tuttoufficiosnc.net</t>
  </si>
  <si>
    <t>UFFICART S.R.L.</t>
  </si>
  <si>
    <t>VIALE GIUSEPPE SIRTORI 44/46/48/52</t>
  </si>
  <si>
    <t>info@ufficart.it</t>
  </si>
  <si>
    <t>ELLE EF SRL</t>
  </si>
  <si>
    <t>VIA PRISCIANO,10</t>
  </si>
  <si>
    <t>elleef@virgilio.it</t>
  </si>
  <si>
    <t>F.E.C. SRL</t>
  </si>
  <si>
    <t>VIA DI VILLA SEVERINI, 16</t>
  </si>
  <si>
    <t>fecsrl2012@gmail.com</t>
  </si>
  <si>
    <t>VIA S. SPAVENTA, 5/7</t>
  </si>
  <si>
    <t>POMEZIA</t>
  </si>
  <si>
    <t>meta.ufficio@tiscalinet.it</t>
  </si>
  <si>
    <t>IL POLITECNICO DI ALESSANDRONI PAOLO</t>
  </si>
  <si>
    <t>VIA A. GRAMSCI, 16 B-C-D</t>
  </si>
  <si>
    <t>FIANO ROMANO</t>
  </si>
  <si>
    <t>cart.ilpolitecnico@tiscali.it</t>
  </si>
  <si>
    <t>ELIOTECNICA D'UFFIZI SRLS</t>
  </si>
  <si>
    <t>VIALE PIO XII, 20</t>
  </si>
  <si>
    <t>PALESTRINA</t>
  </si>
  <si>
    <t>eleodani@libero.it</t>
  </si>
  <si>
    <t>PAPERONE SRL</t>
  </si>
  <si>
    <t>VIA NETTUNENSE, 187</t>
  </si>
  <si>
    <t>ANZIO</t>
  </si>
  <si>
    <t>amministrazione@paperone.it</t>
  </si>
  <si>
    <t>ORBITA UFFICIO SNC</t>
  </si>
  <si>
    <t>VIA CASSIA ,1279</t>
  </si>
  <si>
    <t>orbitaufficio@gmail.com</t>
  </si>
  <si>
    <t>TUTTO PER L'UFFICIO SRL</t>
  </si>
  <si>
    <t>VIA DI SANTA COSTANZA, 11 A/B/C</t>
  </si>
  <si>
    <t>info@tuttoperlufficio.it</t>
  </si>
  <si>
    <t>IDEE UFFICIO SRL</t>
  </si>
  <si>
    <t>CORSO VITTORIO EMANUELE II 341</t>
  </si>
  <si>
    <t>ideeufficio2@libero.it</t>
  </si>
  <si>
    <t>TRE C MONDOUFFICIO SAS</t>
  </si>
  <si>
    <t>VIALE DELLA GRANDE MURAGLIA 110 /112</t>
  </si>
  <si>
    <t>mondoufficio@tin.it</t>
  </si>
  <si>
    <t>OMNIA UFFICIO 3 - S.R.L.</t>
  </si>
  <si>
    <t>via EMO ANGELO,123B/123C</t>
  </si>
  <si>
    <t>info@omniaufficio3.it</t>
  </si>
  <si>
    <t>IL GLOBO SRL</t>
  </si>
  <si>
    <t>VIA GREGORIO VII 353</t>
  </si>
  <si>
    <t>fabrizio.91@alice.it</t>
  </si>
  <si>
    <t>GRACCHI UFFICIO SRL</t>
  </si>
  <si>
    <t>VIA DEI GRACCHI, 133</t>
  </si>
  <si>
    <t>gracchiufficio@tin.it</t>
  </si>
  <si>
    <t>DIMENSIONE UFFICIO 85 SRL</t>
  </si>
  <si>
    <t>VIA DEI COLOMBI, 15</t>
  </si>
  <si>
    <t>info@du85.it</t>
  </si>
  <si>
    <t>CENTRO UFFICIO DI PRIORI DANILO</t>
  </si>
  <si>
    <t>VIA FONTANA DELL'OSTE, 6 /8</t>
  </si>
  <si>
    <t>COLLEFERRO</t>
  </si>
  <si>
    <t>priori.danilo@tiscalinet.it</t>
  </si>
  <si>
    <t>CARACUZZO UFFICIO SRL</t>
  </si>
  <si>
    <t>VIA TRILUSSA 31 -A/B</t>
  </si>
  <si>
    <t>ALBANO LAZIALE</t>
  </si>
  <si>
    <t>enrico@caracuzzo.it</t>
  </si>
  <si>
    <t>VIA FEDERICO OZANAM, 62B</t>
  </si>
  <si>
    <t>ozanamseiq@tiscali.it</t>
  </si>
  <si>
    <t>NUOVA LINEA CONTABILE SAS DI MISSORI MAURO &amp; C.</t>
  </si>
  <si>
    <t>VIA DI ROCCA CENCIA, 26</t>
  </si>
  <si>
    <t>5956@gruppobuffetti.it</t>
  </si>
  <si>
    <t>TECNOUFFICIO SAS DI TEMPESTINI CLAUDIO &amp; C.</t>
  </si>
  <si>
    <t>VIALE ANTONIO CIAMARRA, 202</t>
  </si>
  <si>
    <t>tecnoufficiosas@linet.it</t>
  </si>
  <si>
    <t>VIA TUSCOLANA 289</t>
  </si>
  <si>
    <t>ideeufficiosrl@virgilio.it</t>
  </si>
  <si>
    <t>PUNTOCONTABILE SNC DI DE STEFANIS SIMONA &amp; C.</t>
  </si>
  <si>
    <t>VIA VITTORIO DE SICA 1 CENTRO COMM. EURO PLANET</t>
  </si>
  <si>
    <t>GUIDONIA MONTECELIO</t>
  </si>
  <si>
    <t>info@puntocontabileguidonia.com</t>
  </si>
  <si>
    <t>DELLA MOTTA ANNA</t>
  </si>
  <si>
    <t>VIA QUINTINO SELLA, 30</t>
  </si>
  <si>
    <t>bifratre@tiscali.it</t>
  </si>
  <si>
    <t>CARTOTECNICA 2000 SAS DI VISCUSI FRANCESCO &amp; C.</t>
  </si>
  <si>
    <t>VIA PIAVE, 11/13</t>
  </si>
  <si>
    <t>FRASCATI</t>
  </si>
  <si>
    <t>frascati.buffetti@tiscalinet.it</t>
  </si>
  <si>
    <t>CICHI SRL</t>
  </si>
  <si>
    <t>VIALE PINTURICCHIO, 80</t>
  </si>
  <si>
    <t>cichisrl@virgilio.it</t>
  </si>
  <si>
    <t>CENTRO FORNITURE UFFICIO SRL</t>
  </si>
  <si>
    <t>VIA DI ACQUA BULLICANTE, 266</t>
  </si>
  <si>
    <t>cfusettedue@tiscali.it</t>
  </si>
  <si>
    <t>L'UFFICIO IN SRL</t>
  </si>
  <si>
    <t>VIA DEI PREFETTI, 28</t>
  </si>
  <si>
    <t>campomarzio_2000@yahoo.it</t>
  </si>
  <si>
    <t>FALEO SAS DI FACCINI CARLO &amp; C.</t>
  </si>
  <si>
    <t>VIA IPPOLITO NIEVO 68</t>
  </si>
  <si>
    <t>faleosas@libero.it</t>
  </si>
  <si>
    <t>NIRO 83 SRL</t>
  </si>
  <si>
    <t>VIA N. RICCIOTTI 6</t>
  </si>
  <si>
    <t>e.seba@niro83srl.191.it</t>
  </si>
  <si>
    <t>CENTROCART DI ALESSANDRIS IRENE</t>
  </si>
  <si>
    <t>VIA G. MAMELI 16 /D</t>
  </si>
  <si>
    <t>MONTEROTONDO</t>
  </si>
  <si>
    <t>info@centrocart.com</t>
  </si>
  <si>
    <t>L'UFFICIO MODERNO DI ROMA SRL</t>
  </si>
  <si>
    <t>PIAZZALE CLODIO, 62</t>
  </si>
  <si>
    <t>info.buffetti@fastwebnet.it</t>
  </si>
  <si>
    <t>LINEA UFFICIO DI ANCILLAI ARNALDO</t>
  </si>
  <si>
    <t>VIA ANGUILLARESE 46-A</t>
  </si>
  <si>
    <t>ANGUILLARA SABAZIA</t>
  </si>
  <si>
    <t>lineaufficiodiancillai@virgilio.it</t>
  </si>
  <si>
    <t>VIA IGINO GARBINI, 140</t>
  </si>
  <si>
    <t>VITERBO</t>
  </si>
  <si>
    <t>VT</t>
  </si>
  <si>
    <t>info@buffetticentroufficio.it</t>
  </si>
  <si>
    <t>VIA FALCONE E BORSELLINO, 23</t>
  </si>
  <si>
    <t>posta@buffettiufficiomoderno.it</t>
  </si>
  <si>
    <t>CENTRO SERVIZI TIBURTINO SRL</t>
  </si>
  <si>
    <t>VIA EUGENIO TORELLI VIOLLIER, 108</t>
  </si>
  <si>
    <t>cstbuffetti@yahoo.ca</t>
  </si>
  <si>
    <t>B C M SRL</t>
  </si>
  <si>
    <t>VIA DI BRAVETTA 500</t>
  </si>
  <si>
    <t>g.manili@bcmufficio.it</t>
  </si>
  <si>
    <t>PUNTO BUSINESS S.R.L</t>
  </si>
  <si>
    <t>VIA CAMERATA PICENA 354 /356</t>
  </si>
  <si>
    <t>puntobusiness@tiscalinet.it</t>
  </si>
  <si>
    <t>GIULEO SRL</t>
  </si>
  <si>
    <t>VIALE G. MAZZINI, 40</t>
  </si>
  <si>
    <t>MARINO</t>
  </si>
  <si>
    <t>buffetti.marino@virgilio.it</t>
  </si>
  <si>
    <t>EVOLUZIONE 2000 DI MANNOCCHI ANDREA E C.SAS</t>
  </si>
  <si>
    <t>VIA GIUSTINIANA,102-B</t>
  </si>
  <si>
    <t>andreamannocchi@alice.it</t>
  </si>
  <si>
    <t>PROGETTO IMPRESA SRL</t>
  </si>
  <si>
    <t>VIA BARBERINI 40 /46</t>
  </si>
  <si>
    <t>assistenza@barberini40.it</t>
  </si>
  <si>
    <t>CHIGI UFFICIO SRL</t>
  </si>
  <si>
    <t>VIA DI VILLA CHIGI, 42 /44</t>
  </si>
  <si>
    <t>chigiufficio@gmail.com</t>
  </si>
  <si>
    <t>KRELL INFORMATICA SRL</t>
  </si>
  <si>
    <t>VIA LATA 175 /177</t>
  </si>
  <si>
    <t>VELLETRI</t>
  </si>
  <si>
    <t>amministrazione@krell.it</t>
  </si>
  <si>
    <t>PUNTO UFFICIO DI DUTTO RICCARDO</t>
  </si>
  <si>
    <t>VIA DELLA BUFALOTTA, 244</t>
  </si>
  <si>
    <t>info@duttoufficio.it</t>
  </si>
  <si>
    <t>VESAUFFICIO SRL</t>
  </si>
  <si>
    <t>VIA SANTA MARIA, 152</t>
  </si>
  <si>
    <t>NETTUNO</t>
  </si>
  <si>
    <t>info@vesaufficio.it</t>
  </si>
  <si>
    <t>TUTTOUFFICIO SNC DI BIANCALANA SIMONA &amp; C.</t>
  </si>
  <si>
    <t>LARGO ALMUNECAR, 8</t>
  </si>
  <si>
    <t>CERVETERI</t>
  </si>
  <si>
    <t>cerveteri@tuttoufficiosnc.net</t>
  </si>
  <si>
    <t>VIALE DI MARINO 32 /34</t>
  </si>
  <si>
    <t>CIAMPINO</t>
  </si>
  <si>
    <t>buffetti.ciampino@gmail.com</t>
  </si>
  <si>
    <t>L'UFFICIO MODERNO SAS DI ROBERTO MONTESI &amp; C.</t>
  </si>
  <si>
    <t>VIALE BEETHOVEN 18</t>
  </si>
  <si>
    <t>montesibuffetti@libero.it</t>
  </si>
  <si>
    <t>NON SOLO UFFICIO SRL</t>
  </si>
  <si>
    <t>VIALE BRUNO BUOZZI 21 /B</t>
  </si>
  <si>
    <t>6085@gruppobuffetti.it</t>
  </si>
  <si>
    <t>UFFICIO IDEA SRL</t>
  </si>
  <si>
    <t>VIA DEI PRATI FISCALI 267</t>
  </si>
  <si>
    <t>vendita@ufficioidearoma.it</t>
  </si>
  <si>
    <t>SILEX DUE SRL</t>
  </si>
  <si>
    <t>VIA TIBURTINA, 614</t>
  </si>
  <si>
    <t>amministrazione@silexdue.it</t>
  </si>
  <si>
    <t>FIRE OFFICE SAS DI RICCARDO MACALE</t>
  </si>
  <si>
    <t>VIA CASILINA, 113</t>
  </si>
  <si>
    <t>riccardoma@tiscalinet.it</t>
  </si>
  <si>
    <t>PIAZZA DELL' ESQUILINO 30-34</t>
  </si>
  <si>
    <t>buffetti.stilo@gmail.com</t>
  </si>
  <si>
    <t>OFFICE 2005 SAS DI FABRIZIO CASTELLANI</t>
  </si>
  <si>
    <t>VIA TIRSO 58 / 60 / 62</t>
  </si>
  <si>
    <t>office2005sas@yahoo.it</t>
  </si>
  <si>
    <t>SPINOZZI ALFREDO SNC DI SPINOZZI TERESA &amp; MICHELINA</t>
  </si>
  <si>
    <t>CORSO V. EMANUELE 43</t>
  </si>
  <si>
    <t>CAMPOBASSO</t>
  </si>
  <si>
    <t>CB</t>
  </si>
  <si>
    <t>14 - Molise</t>
  </si>
  <si>
    <t>alfredospinozzisnc@virgilio.it</t>
  </si>
  <si>
    <t>FALCOLINI SAS DI FALCOLINI FRANCESCO &amp; C.</t>
  </si>
  <si>
    <t>VIA MARTIRI DELLA RESISTENZA, 64</t>
  </si>
  <si>
    <t>TERMOLI</t>
  </si>
  <si>
    <t>falcolinisas@gmail.com</t>
  </si>
  <si>
    <t>SAT OFFICE SAS DI MARILUNGO ROSSELLA &amp; C</t>
  </si>
  <si>
    <t>VIA MAIELLA, 23/L-O</t>
  </si>
  <si>
    <t>VENAFRO</t>
  </si>
  <si>
    <t>IS</t>
  </si>
  <si>
    <t>info@satoffice.it</t>
  </si>
  <si>
    <t>SISTEMI UFFICIO SAS</t>
  </si>
  <si>
    <t>VIA BENEDETTO CROCE, 235</t>
  </si>
  <si>
    <t>CHIETI SCALO</t>
  </si>
  <si>
    <t>CH</t>
  </si>
  <si>
    <t>13 - Abruzzo</t>
  </si>
  <si>
    <t>virginiadirito@gmail.com</t>
  </si>
  <si>
    <t>ITINERARI SNC DI ANGELUCCI R.E S.</t>
  </si>
  <si>
    <t>VIA PIAVE, 11 /12</t>
  </si>
  <si>
    <t>LANCIANO</t>
  </si>
  <si>
    <t>cart.itinerari@tin.it</t>
  </si>
  <si>
    <t>TECNICA CONTABILE DI BASTI ASSUNTA</t>
  </si>
  <si>
    <t>VIA ADRIATICA, 3 /U-T</t>
  </si>
  <si>
    <t>FRANCAVILLA AL MARE</t>
  </si>
  <si>
    <t>tecnicacontabile@virgilio.it</t>
  </si>
  <si>
    <t>CARTOLIBRERIA UNIVERSAL VICOLI CESARIO DI EZIO VICOLI E C. S.A.S.</t>
  </si>
  <si>
    <t>CORSO NUOVA ITALIA 40</t>
  </si>
  <si>
    <t>VASTO</t>
  </si>
  <si>
    <t>buffetti@cartolibreriauniversal.it</t>
  </si>
  <si>
    <t>CARAFA DONATINO</t>
  </si>
  <si>
    <t>VIA OCCIDENTALE 112</t>
  </si>
  <si>
    <t>GUARDIAGRELE</t>
  </si>
  <si>
    <t>info@carafa.net</t>
  </si>
  <si>
    <t>ROTOLO ANNA</t>
  </si>
  <si>
    <t>CONTRADA PIAZZANO 68</t>
  </si>
  <si>
    <t>ATESSA</t>
  </si>
  <si>
    <t>anna.rotolo@tin.it</t>
  </si>
  <si>
    <t>CARTOLIBRERIA ECONOMICA SAS DI ANNA MARIA TIBERI</t>
  </si>
  <si>
    <t>VIA ROCCO CARABBA,GALL.MERIDIAN</t>
  </si>
  <si>
    <t>L'AQUILA</t>
  </si>
  <si>
    <t>AQ</t>
  </si>
  <si>
    <t>cart.economica@gmail.com</t>
  </si>
  <si>
    <t>TECNO UFFICIO DI ZAZZINI SNC</t>
  </si>
  <si>
    <t>VIA MONTE VELINO, 127</t>
  </si>
  <si>
    <t>AVEZZANO</t>
  </si>
  <si>
    <t>zazzini1@virgilio.it</t>
  </si>
  <si>
    <t>VIESSE S.A.S. DI VALGUARNERA MARCO E ANTON LUCA</t>
  </si>
  <si>
    <t>VIA G. SALVEMINI, 2-4</t>
  </si>
  <si>
    <t>SULMONA</t>
  </si>
  <si>
    <t>info@ufficioin.net</t>
  </si>
  <si>
    <t>LA CARTOLIBRERIA DI CARLANTONIO SALVATORE</t>
  </si>
  <si>
    <t>VIA XX SETTEMBRE, 45</t>
  </si>
  <si>
    <t>CASTEL DI SANGRO</t>
  </si>
  <si>
    <t>lacartolibreria@email.it</t>
  </si>
  <si>
    <t>COMMERCIALTECNICA SAS DI GIANLUCA DI PIETRO &amp; C.</t>
  </si>
  <si>
    <t>VIA OBERDAN 47</t>
  </si>
  <si>
    <t>TERAMO</t>
  </si>
  <si>
    <t>TE</t>
  </si>
  <si>
    <t>commercialtecnica@gmail.com</t>
  </si>
  <si>
    <t>RASTELLI  CLAUDIO</t>
  </si>
  <si>
    <t>VIA DUCA D'AOSTA, 26</t>
  </si>
  <si>
    <t>ALBA ADRIATICA</t>
  </si>
  <si>
    <t>albacartsrl@libero.it</t>
  </si>
  <si>
    <t>STUDIO UFFICIO SRL</t>
  </si>
  <si>
    <t>VIA CHIETI, 18</t>
  </si>
  <si>
    <t>PESCARA</t>
  </si>
  <si>
    <t>PE</t>
  </si>
  <si>
    <t>info@studioufficio.it</t>
  </si>
  <si>
    <t>NUOVA GRAFIKA SAS DI LUCENTE MARCO &amp; C.</t>
  </si>
  <si>
    <t>CORSO I MAGGIO 2 /A</t>
  </si>
  <si>
    <t>SCAFA</t>
  </si>
  <si>
    <t>nuova.grafika@tiscali.it</t>
  </si>
  <si>
    <t>SOLUZIONE UFFICIO SRL</t>
  </si>
  <si>
    <t>VIA TIBURTINA VALERIA,163</t>
  </si>
  <si>
    <t>g.martella@soluzioneufficiosrl.eu</t>
  </si>
  <si>
    <t>SIMONE ANTONELLA</t>
  </si>
  <si>
    <t>CORSO UMBERTO, 448</t>
  </si>
  <si>
    <t>MONTESILVANO</t>
  </si>
  <si>
    <t>grafico@centro-ufficio.eu</t>
  </si>
  <si>
    <t>BLU PAPER SRL</t>
  </si>
  <si>
    <t>VIALE PINDARO, 23</t>
  </si>
  <si>
    <t>amministrazioneblupaper@hotmail.it</t>
  </si>
  <si>
    <t>MARIO MASCOLO SAS  DI  L. MASCOLO &amp; C.</t>
  </si>
  <si>
    <t>CORSO FAMIGLIA DE MATTIA, 29</t>
  </si>
  <si>
    <t>VALLO DELLA LUCANIA</t>
  </si>
  <si>
    <t>SA</t>
  </si>
  <si>
    <t>15 - Campania</t>
  </si>
  <si>
    <t>buffetti.vallo@tiscalinet.it</t>
  </si>
  <si>
    <t>IL MODULO SRL</t>
  </si>
  <si>
    <t>VIA BARBARULO 122</t>
  </si>
  <si>
    <t>NOCERA INFERIORE</t>
  </si>
  <si>
    <t>v.brizzi@tin.it</t>
  </si>
  <si>
    <t>CARTUFFICIO SAS DI SANTORO ROSA &amp; C.</t>
  </si>
  <si>
    <t>VIA MATTEOTTI () SNC</t>
  </si>
  <si>
    <t>SARNO</t>
  </si>
  <si>
    <t>cartufficio@inwind.it</t>
  </si>
  <si>
    <t>ESPOSITO CARLO</t>
  </si>
  <si>
    <t>VIA MATTEOTTI, 22</t>
  </si>
  <si>
    <t>SALA CONSILINA</t>
  </si>
  <si>
    <t>buffetti.esposito@tiscali.it</t>
  </si>
  <si>
    <t>CARTOSYSTEM GROUP SRLS</t>
  </si>
  <si>
    <t>VIA CLEMENTE MAURO, 17</t>
  </si>
  <si>
    <t>SALERNO</t>
  </si>
  <si>
    <t>posta@cartosystem.it</t>
  </si>
  <si>
    <t>SGROSSO RICCARDO</t>
  </si>
  <si>
    <t>VIA CIRCUMVALLAZIONE 74 /76</t>
  </si>
  <si>
    <t>AVELLINO</t>
  </si>
  <si>
    <t>AV</t>
  </si>
  <si>
    <t>info@sgrosso.it</t>
  </si>
  <si>
    <t>LO CONTE FABIANO</t>
  </si>
  <si>
    <t>VIA ALDO MORO, 50</t>
  </si>
  <si>
    <t>GROTTAMINARDA</t>
  </si>
  <si>
    <t>fabianoloconte@libero.it</t>
  </si>
  <si>
    <t>PUNTO SETTE SNC DI CARBONE R. E BASILE A. &amp; C.</t>
  </si>
  <si>
    <t>VIA NAZIONALE APPIA, 103-105</t>
  </si>
  <si>
    <t>CASAGIOVE</t>
  </si>
  <si>
    <t>CE</t>
  </si>
  <si>
    <t>buffetti@puntosette.it</t>
  </si>
  <si>
    <t>ELAMA OFFICE SRL</t>
  </si>
  <si>
    <t>VIALE KENNEDY 151</t>
  </si>
  <si>
    <t>AVERSA</t>
  </si>
  <si>
    <t>info@elamaoffice.it</t>
  </si>
  <si>
    <t>EMMEGI DI GOLINO RAFFAELE</t>
  </si>
  <si>
    <t>PIAZZA MUNICIPIO, 8</t>
  </si>
  <si>
    <t>SAN NICOLA LA STRADA</t>
  </si>
  <si>
    <t>emmegigolino@gmail.com</t>
  </si>
  <si>
    <t>AGF SRL</t>
  </si>
  <si>
    <t>VIA UNITA ITALIANA, 60/66</t>
  </si>
  <si>
    <t>CASERTA</t>
  </si>
  <si>
    <t>6835@gruppobuffetti.it</t>
  </si>
  <si>
    <t>CORSO PIETRO GIANNONE, 84</t>
  </si>
  <si>
    <t>UFFICIOSTILE SAS DI DI STASIO MARIALISA &amp; C.</t>
  </si>
  <si>
    <t>VIA C. BATTISTI, 50</t>
  </si>
  <si>
    <t>TORRE DEL GRECO</t>
  </si>
  <si>
    <t>NA</t>
  </si>
  <si>
    <t>ufficiostiletorredg@virgilio.it</t>
  </si>
  <si>
    <t>MARKETING OFFICE SAS DI MANNA ADELAIDE &amp; C.</t>
  </si>
  <si>
    <t>VIA VERDI 2</t>
  </si>
  <si>
    <t>AFRAGOLA</t>
  </si>
  <si>
    <t>buffettiafragola@gmail.com</t>
  </si>
  <si>
    <t>L'UFFICIO MODERNO DELLA CAMPANIA SRL</t>
  </si>
  <si>
    <t>VIA NUOVA POGGIOREALE, 164</t>
  </si>
  <si>
    <t>NAPOLI</t>
  </si>
  <si>
    <t>grimaldi@ufficiomodernocampania.it</t>
  </si>
  <si>
    <t>PUNTO SETTE SNC</t>
  </si>
  <si>
    <t>VIA MARIANO SEMMOLA, 58 /60</t>
  </si>
  <si>
    <t>puntosettena@virgilio.it</t>
  </si>
  <si>
    <t>PIANETA UFFICIO DI PAUMGARDHEN CIRO &amp; C.   S.A.S</t>
  </si>
  <si>
    <t>VIA NAZIONALE DELLE PUGLIE, 214</t>
  </si>
  <si>
    <t>CASALNUOVO DI NAPOLI</t>
  </si>
  <si>
    <t>pianetauff@libero.it</t>
  </si>
  <si>
    <t>CARTWORD SAS DI ESPOSITO CARMELA &amp; C.</t>
  </si>
  <si>
    <t>VIA ARMANDO DIAZ, 38</t>
  </si>
  <si>
    <t>CRISPANO</t>
  </si>
  <si>
    <t>cartword@tiscali.it</t>
  </si>
  <si>
    <t>MODERN OFFICE SAS DI DI LORENZO VINCENZO</t>
  </si>
  <si>
    <t>CORSO UNIONE SOVIETICA,74</t>
  </si>
  <si>
    <t>SANT'ANTIMO</t>
  </si>
  <si>
    <t>modernoffice@fastwebnet.it</t>
  </si>
  <si>
    <t>OMNIOFFICE SAS DI FLAMINIO GAETANO &amp; C.</t>
  </si>
  <si>
    <t>VIA PADRE MARIO VERGARA, 87-89</t>
  </si>
  <si>
    <t>FRATTAMAGGIORE</t>
  </si>
  <si>
    <t>omnioffice@iol.it</t>
  </si>
  <si>
    <t>LINEA UFFICIO S.N.C. DI SAVANELLI ANTONIETTA &amp; C.</t>
  </si>
  <si>
    <t>VIA COLONNELLO MORGERA D., 30-32</t>
  </si>
  <si>
    <t>QUALIANO</t>
  </si>
  <si>
    <t>buffettiqualiano@tin.it</t>
  </si>
  <si>
    <t>EUROPROGRAM SRL</t>
  </si>
  <si>
    <t>VIA GIOVANNI PAISIELLO, 17</t>
  </si>
  <si>
    <t>europrogram@tin.it</t>
  </si>
  <si>
    <t>DI.LOR.UFFICIO SAS di  DI LORENZO LUIGI</t>
  </si>
  <si>
    <t>CORSO EUROPA 163 /165</t>
  </si>
  <si>
    <t>MELITO DI NAPOLI</t>
  </si>
  <si>
    <t>dilor.ufficio@alice.it</t>
  </si>
  <si>
    <t>SERVICOM SRL</t>
  </si>
  <si>
    <t>VIA APPIA, KM 195</t>
  </si>
  <si>
    <t>VITULAZIO</t>
  </si>
  <si>
    <t>buffetti.capua@tin.it</t>
  </si>
  <si>
    <t>CONFALONE SRL</t>
  </si>
  <si>
    <t>PIAZZA CARITA , 21</t>
  </si>
  <si>
    <t>confalonesrl@gmail.com</t>
  </si>
  <si>
    <t>ASCOR SAS DI GIUSEPPE CORCIONE</t>
  </si>
  <si>
    <t>VIA BARTOLO LONGO, 418</t>
  </si>
  <si>
    <t>ascorbuffetti1@virgilio.it</t>
  </si>
  <si>
    <t>VIA PORZIO, Centro Direzionale, ISOLA E3</t>
  </si>
  <si>
    <t>cdnbuffetti@hotmail.it</t>
  </si>
  <si>
    <t>SONAR  SRL</t>
  </si>
  <si>
    <t>VIA ROBERTO BRACCO, 36/38/40</t>
  </si>
  <si>
    <t>info@sonarsrl.it</t>
  </si>
  <si>
    <t>IL CENTRO CONTABILITA' SRL</t>
  </si>
  <si>
    <t>VIA ERCOLE CANTONE 137</t>
  </si>
  <si>
    <t>POMIGLIANO D'ARCO</t>
  </si>
  <si>
    <t>6990@gruppobuffetti.it</t>
  </si>
  <si>
    <t>CENTRO DI  CONTABILITA SRL</t>
  </si>
  <si>
    <t>VIA S. PAOLO BELSITO, 172</t>
  </si>
  <si>
    <t>NOLA</t>
  </si>
  <si>
    <t>buffetti.nola@virgilio.it</t>
  </si>
  <si>
    <t>ELIOCARTOTECNICA S.A.S. DI SEBILLO RAFFAELLA &amp; C.</t>
  </si>
  <si>
    <t>VIA FRATELLI MARISTI, 23</t>
  </si>
  <si>
    <t>GIUGLIANO IN CAMPANIA</t>
  </si>
  <si>
    <t>eliocartotecnicasas@gmail.com</t>
  </si>
  <si>
    <t>RIOP SRL</t>
  </si>
  <si>
    <t>VIA AIELLI 121</t>
  </si>
  <si>
    <t>SAN GIUSEPPE VESUVIANO</t>
  </si>
  <si>
    <t>info@riop.it</t>
  </si>
  <si>
    <t>C.SO ITALIA, 19</t>
  </si>
  <si>
    <t>MUGNANO DI NAPOLI</t>
  </si>
  <si>
    <t>SISTEMA ITALIA SRL</t>
  </si>
  <si>
    <t>SALITA PIEDIGROTTA, 4-6-8</t>
  </si>
  <si>
    <t>buffettisistemaitalia@gmail.com</t>
  </si>
  <si>
    <t>G.I.F.A. DI SABATINO FIORE E C. SAS</t>
  </si>
  <si>
    <t>VIA G. TOMA</t>
  </si>
  <si>
    <t>BENEVENTO</t>
  </si>
  <si>
    <t>BN</t>
  </si>
  <si>
    <t>gifa.buffetti@tin.it</t>
  </si>
  <si>
    <t>STELLATO SAS DI RAFFAELE STELLATO &amp; C.</t>
  </si>
  <si>
    <t>VIA S.MARTINO, 137</t>
  </si>
  <si>
    <t>MONTESARCHIO</t>
  </si>
  <si>
    <t>stellatosas@tin.it</t>
  </si>
  <si>
    <t>VDM S.R.L.S.</t>
  </si>
  <si>
    <t>VIA S. GIOVANNI, 39</t>
  </si>
  <si>
    <t>TELESE TERME</t>
  </si>
  <si>
    <t>buffetti.telese@tin.it</t>
  </si>
  <si>
    <t>FALCONE CLEMENTA</t>
  </si>
  <si>
    <t>VIA MANZONI, 2</t>
  </si>
  <si>
    <t>ALTAMURA</t>
  </si>
  <si>
    <t>BA</t>
  </si>
  <si>
    <t>16 - Puglia</t>
  </si>
  <si>
    <t>clementa.falcone@alice.it</t>
  </si>
  <si>
    <t>PISICOLI TERESA</t>
  </si>
  <si>
    <t>VIA CASALE 198 /200</t>
  </si>
  <si>
    <t>GRAVINA IN PUGLIA</t>
  </si>
  <si>
    <t>buffettigravina@virgilio.it</t>
  </si>
  <si>
    <t>MODUGNO PANTALEONE  G.D.</t>
  </si>
  <si>
    <t>VIA GIACOMO MATTEOTTI, 94</t>
  </si>
  <si>
    <t>BITONTO</t>
  </si>
  <si>
    <t>modleo@libero.it</t>
  </si>
  <si>
    <t>LA CONTABILITA' DI LONGO PIETRO</t>
  </si>
  <si>
    <t>VIA DELLA CONCILIAZIONE, 35</t>
  </si>
  <si>
    <t>PUTIGNANO</t>
  </si>
  <si>
    <t>longpi@libero.it</t>
  </si>
  <si>
    <t>LOPERFIDO FRANCESCO</t>
  </si>
  <si>
    <t>VIA BOLOGNA, 82</t>
  </si>
  <si>
    <t>ANDRIA</t>
  </si>
  <si>
    <t>BT</t>
  </si>
  <si>
    <t>info@loperfidofrancesco.it</t>
  </si>
  <si>
    <t>EUROFFICE DEL RAG.PARISI LUIGI</t>
  </si>
  <si>
    <t>CORSO IMBRIANI, 77-81</t>
  </si>
  <si>
    <t>TRANI</t>
  </si>
  <si>
    <t>euroffice.parisi@virgilio.it</t>
  </si>
  <si>
    <t>NARDONE STEFANO</t>
  </si>
  <si>
    <t>VIA INDIPENDENZA, 47</t>
  </si>
  <si>
    <t>BARLETTA</t>
  </si>
  <si>
    <t>nardone_stefano@libero.it</t>
  </si>
  <si>
    <t>ALL SERVICE SRL</t>
  </si>
  <si>
    <t>CORSO ITALIA, 11</t>
  </si>
  <si>
    <t>SANTERAMO IN COLLE</t>
  </si>
  <si>
    <t>amministrazione@allservicegroup.net</t>
  </si>
  <si>
    <t>OFFICE POINT DI MARTUCCI GABRIELE</t>
  </si>
  <si>
    <t>VIA ROMA, 3A</t>
  </si>
  <si>
    <t>FASANO</t>
  </si>
  <si>
    <t>BR</t>
  </si>
  <si>
    <t>officepointdimartuccigab@virgilio.it</t>
  </si>
  <si>
    <t>DEAL SRL unipersonale</t>
  </si>
  <si>
    <t>VIA DE CARPENTIERI, 16</t>
  </si>
  <si>
    <t>BRINDISI</t>
  </si>
  <si>
    <t>info@dealonline.it</t>
  </si>
  <si>
    <t>A D SOLUZIONI UFFICIO DI ALESSANDRO DI MONTE</t>
  </si>
  <si>
    <t>VIA TANCREDI NORMANNO, 9</t>
  </si>
  <si>
    <t>MESAGNE</t>
  </si>
  <si>
    <t>7224@gruppobuffetti.it</t>
  </si>
  <si>
    <t>LA CONTABILITA' SNC DI MARESCA GIUSEPPE &amp; C.</t>
  </si>
  <si>
    <t>CORSO ROMA, 90</t>
  </si>
  <si>
    <t>SAN GIOVANNI ROTONDO</t>
  </si>
  <si>
    <t>FG</t>
  </si>
  <si>
    <t>maresca@lacontabilita.net</t>
  </si>
  <si>
    <t>3 V DI GIOVANNI VIVOLO E C.SAS</t>
  </si>
  <si>
    <t>VIA NAPOLI, 2/I/L/M/N</t>
  </si>
  <si>
    <t>FOGGIA</t>
  </si>
  <si>
    <t>info@bcommerce.it</t>
  </si>
  <si>
    <t>ARTE GRAFICA E CONTABILITA' S.R.L.</t>
  </si>
  <si>
    <t>CORSO GIUSTINO FORTUNATO, 64</t>
  </si>
  <si>
    <t>SAN SEVERO</t>
  </si>
  <si>
    <t>artegraficaecontabilitasrl@legalmail.it</t>
  </si>
  <si>
    <t>FEDEL DI SCORRANO LEONARDO</t>
  </si>
  <si>
    <t>VIALE FERRARI, 106</t>
  </si>
  <si>
    <t>CASARANO</t>
  </si>
  <si>
    <t>LE</t>
  </si>
  <si>
    <t>fedelbuffetti@gmail.com</t>
  </si>
  <si>
    <t>CARTOFFICE SNC DI CANITANO MICHELE &amp; FABIO</t>
  </si>
  <si>
    <t>VIA NICOLA FERRAMOSCA, 127</t>
  </si>
  <si>
    <t>MAGLIE</t>
  </si>
  <si>
    <t>info@cartoffice.it</t>
  </si>
  <si>
    <t>RAG.CORDELLA GIUSEPPE</t>
  </si>
  <si>
    <t>VIA RE GALANTUOMO, 18</t>
  </si>
  <si>
    <t>COPERTINO</t>
  </si>
  <si>
    <t>simona.cordella@tin.it</t>
  </si>
  <si>
    <t>OLTRE LA CARTA SNC DI MUSIO FRANCESCO &amp; CRISTINA</t>
  </si>
  <si>
    <t>PIAZZA MAZZINI, 57</t>
  </si>
  <si>
    <t>LECCE</t>
  </si>
  <si>
    <t>oltrelacartasas@libero.it</t>
  </si>
  <si>
    <t>ANGELO AMODIO SRL</t>
  </si>
  <si>
    <t>VIA DANTE ALIGHIERI, 220</t>
  </si>
  <si>
    <t>TARANTO</t>
  </si>
  <si>
    <t>TA</t>
  </si>
  <si>
    <t>amodio.uno@libero.it</t>
  </si>
  <si>
    <t>VIA ANFITEATRO, 91</t>
  </si>
  <si>
    <t>STANO SAS DI STANO RITA &amp; C.</t>
  </si>
  <si>
    <t>VIA GIOVANNI FALCONE</t>
  </si>
  <si>
    <t>MANDURIA</t>
  </si>
  <si>
    <t>stanocopisteria@libero.it</t>
  </si>
  <si>
    <t>OFICINA MODERNA DI BORZACCHIELLO FILIPPO</t>
  </si>
  <si>
    <t>VIA LOCATELLI, 5/7</t>
  </si>
  <si>
    <t>CASAVATORE</t>
  </si>
  <si>
    <t>oficinamoderna92@libero.it</t>
  </si>
  <si>
    <t>VIA DIAZ, 3</t>
  </si>
  <si>
    <t>PORTICI</t>
  </si>
  <si>
    <t>DIMENSIONE UFFICIO SRL</t>
  </si>
  <si>
    <t>VIA PIRRO DEL BALZO</t>
  </si>
  <si>
    <t>VENOSA</t>
  </si>
  <si>
    <t>PZ</t>
  </si>
  <si>
    <t>17 - Basilicata</t>
  </si>
  <si>
    <t>dimensioneufficiosrl@virgilio.it</t>
  </si>
  <si>
    <t>FOR OFFICE S.A.S. DI DIBUONO ALESSIO &amp; C.</t>
  </si>
  <si>
    <t>VIA NAZIONALE,  80</t>
  </si>
  <si>
    <t>VILLA D'AGRI</t>
  </si>
  <si>
    <t>foroffice@tiscali.it</t>
  </si>
  <si>
    <t>IOEMIOFRATELLO SNC</t>
  </si>
  <si>
    <t>PIAZZA GIUSEPPE MAZZINI, 4-5</t>
  </si>
  <si>
    <t>LAMEZIA TERME</t>
  </si>
  <si>
    <t>CZ</t>
  </si>
  <si>
    <t>18 - Calabria</t>
  </si>
  <si>
    <t>info@ioemiofratello.it</t>
  </si>
  <si>
    <t>DI RENZO MARIA</t>
  </si>
  <si>
    <t>VIA SANDRO PERTINI, 21</t>
  </si>
  <si>
    <t>VIBO VALENTIA</t>
  </si>
  <si>
    <t>VV</t>
  </si>
  <si>
    <t>buffvibo@virgilio.it</t>
  </si>
  <si>
    <t>CENTROFFICE SNC DI CONTE CARMINE &amp; C.</t>
  </si>
  <si>
    <t>VIA ROMA, 115</t>
  </si>
  <si>
    <t>CASTROVILLARI</t>
  </si>
  <si>
    <t>CS</t>
  </si>
  <si>
    <t>centroffice@iol.it</t>
  </si>
  <si>
    <t>MELE OFFICE  SRL</t>
  </si>
  <si>
    <t>VIALE TRIESTE, 64</t>
  </si>
  <si>
    <t>COSENZA</t>
  </si>
  <si>
    <t>buffetti.meleoffice@gmail.com</t>
  </si>
  <si>
    <t>LUCIANO RAG. CARLO</t>
  </si>
  <si>
    <t>CORSO GARIBALDI</t>
  </si>
  <si>
    <t>SIDERNO MARINA</t>
  </si>
  <si>
    <t>RC</t>
  </si>
  <si>
    <t>carloluciano@tiscalinet.it</t>
  </si>
  <si>
    <t>DIELNET SRL</t>
  </si>
  <si>
    <t>VIA ROMA,  3</t>
  </si>
  <si>
    <t>REGGIO CALABRIA</t>
  </si>
  <si>
    <t>buffetti@diel.it</t>
  </si>
  <si>
    <t>SERVICE OFFICE DI MARINO NATALE</t>
  </si>
  <si>
    <t>CORSO G. GARIBALDI, 151/153</t>
  </si>
  <si>
    <t>MELITO DI PORTO SALVO</t>
  </si>
  <si>
    <t>serviceoffice@virgilio.it</t>
  </si>
  <si>
    <t>L'UFFICIO MODERNO SAS DI PASQUALE ESPOSITO E C.</t>
  </si>
  <si>
    <t>VIA PROTOSPATA, 90BIS</t>
  </si>
  <si>
    <t>MATERA</t>
  </si>
  <si>
    <t>MT</t>
  </si>
  <si>
    <t>negozio@lufficiomoderno.net</t>
  </si>
  <si>
    <t>VIA LOMBARDIA, 1</t>
  </si>
  <si>
    <t>CALTANISSETTA</t>
  </si>
  <si>
    <t>CL</t>
  </si>
  <si>
    <t>19 - Sicilia</t>
  </si>
  <si>
    <t>annamarfia@tiscali.it</t>
  </si>
  <si>
    <t>EASY OFFICE SRL</t>
  </si>
  <si>
    <t>VIA GIUSEPPE POLLACI, 42/44</t>
  </si>
  <si>
    <t>PALERMO</t>
  </si>
  <si>
    <t>PA</t>
  </si>
  <si>
    <t>buffetti@easyoffice.it</t>
  </si>
  <si>
    <t>KARTOBIT S.R.L.</t>
  </si>
  <si>
    <t>VIA NOTARBARTOLO, 24A-B</t>
  </si>
  <si>
    <t>8330@gruppobuffetti.it</t>
  </si>
  <si>
    <t>DEEP LINE SNC DI TUMMINELLO GIUSEPPE E DELIA</t>
  </si>
  <si>
    <t>VIA VINCENZO CIRINCIONE, 100</t>
  </si>
  <si>
    <t>CEFALU'</t>
  </si>
  <si>
    <t>8331@gruppobuffetti.it</t>
  </si>
  <si>
    <t>MASTER OFFICE SOCIETA' COOPERATIVA</t>
  </si>
  <si>
    <t>VIA AUSONIA, 78</t>
  </si>
  <si>
    <t>masterofficecoop@libero.it</t>
  </si>
  <si>
    <t>KARTOBIT SRL</t>
  </si>
  <si>
    <t>VIA B. MATTARELLA, 37</t>
  </si>
  <si>
    <t>BAGHERIA</t>
  </si>
  <si>
    <t>lavino@dielnet.it</t>
  </si>
  <si>
    <t>GALVA SRL</t>
  </si>
  <si>
    <t>VIA NAZIONALE, 201</t>
  </si>
  <si>
    <t>CARINI</t>
  </si>
  <si>
    <t>info@gbnworld.net</t>
  </si>
  <si>
    <t>SYSTEMCART SNC DI CALAFIORE ANDREA &amp; C.</t>
  </si>
  <si>
    <t>VIALE ITALIA, 8/10</t>
  </si>
  <si>
    <t>AUGUSTA</t>
  </si>
  <si>
    <t>SR</t>
  </si>
  <si>
    <t>systemcart@iol.it</t>
  </si>
  <si>
    <t>OFFICE CENTER SNC DI TERRANOVA G.&amp; M.</t>
  </si>
  <si>
    <t>VIA INDIPENDENZA, 175</t>
  </si>
  <si>
    <t>PACHINO</t>
  </si>
  <si>
    <t>officecenter2@tin.it</t>
  </si>
  <si>
    <t>UFFICIO E INFORMATICA DI GIARRATANA FABIO</t>
  </si>
  <si>
    <t>VIALE SANTA PANAGIA, 86</t>
  </si>
  <si>
    <t>SIRACUSA</t>
  </si>
  <si>
    <t>info@ufficioeinformatica.it</t>
  </si>
  <si>
    <t>SYSTEMCART GROUP SRL</t>
  </si>
  <si>
    <t>VIA TEVERE, 1F</t>
  </si>
  <si>
    <t>info@systemcart.com</t>
  </si>
  <si>
    <t>SEA OFFICE SRL</t>
  </si>
  <si>
    <t>VIA FONTANELLE 6/B</t>
  </si>
  <si>
    <t>PATTI</t>
  </si>
  <si>
    <t>ME</t>
  </si>
  <si>
    <t>seaofficesrl1@virgilio.it</t>
  </si>
  <si>
    <t>ZULEIMA S.A.S. DI INCARDONA FABIO &amp; C.</t>
  </si>
  <si>
    <t>VIALE ITALIA, 22/24</t>
  </si>
  <si>
    <t>ALCAMO</t>
  </si>
  <si>
    <t>TP</t>
  </si>
  <si>
    <t>zuleima@tin.it</t>
  </si>
  <si>
    <t>CORRAO FELICE ROBERTO SRL</t>
  </si>
  <si>
    <t>VIA SALVATORE CALVINO, 5</t>
  </si>
  <si>
    <t>TRAPANI</t>
  </si>
  <si>
    <t>alessandro.corrao@fcorrao.it</t>
  </si>
  <si>
    <t>AGENZIA IMBARCADERO DI ARDAGNA GIUSEPPA</t>
  </si>
  <si>
    <t>CONTRADA CUORE DI GESU STRASATTI, 1275</t>
  </si>
  <si>
    <t>MARSALA</t>
  </si>
  <si>
    <t>carto@agenziaimbarcadero.com</t>
  </si>
  <si>
    <t>LA P.P.C. DI CHIOFALO SEBASTIANO</t>
  </si>
  <si>
    <t>VIA SAVONAROLA 39</t>
  </si>
  <si>
    <t>CASTELVETRANO</t>
  </si>
  <si>
    <t>LAPPC@TISCALI.IT</t>
  </si>
  <si>
    <t>LIBRERIA TERRAMATTA DI GUASTELLA CHIARA</t>
  </si>
  <si>
    <t>VIA PLEBISCITO, 5</t>
  </si>
  <si>
    <t>RAGUSA</t>
  </si>
  <si>
    <t>RG</t>
  </si>
  <si>
    <t>amministrazione.terramatta@gmail.com</t>
  </si>
  <si>
    <t>VE.CA. SRL</t>
  </si>
  <si>
    <t>VIA PIRANDELLO, 127</t>
  </si>
  <si>
    <t>CANICATTI'</t>
  </si>
  <si>
    <t>AG</t>
  </si>
  <si>
    <t>corbogioachino@virgilio.it</t>
  </si>
  <si>
    <t>LIBRERIA PIROLA MAGGIOLI DI TEDESCO FRANCESCA</t>
  </si>
  <si>
    <t>CORSO VITTORIO VENETO, 390</t>
  </si>
  <si>
    <t>FAVARA</t>
  </si>
  <si>
    <t>pmaggioli@virgilio.it</t>
  </si>
  <si>
    <t>UFFICIOFACILE  SNC DI TULONE F. &amp; CONTI M.</t>
  </si>
  <si>
    <t>VIA LIONI 59</t>
  </si>
  <si>
    <t>SCIACCA</t>
  </si>
  <si>
    <t>buffetti@ufficiofacile.net</t>
  </si>
  <si>
    <t>SA.IV DI GALVANO IVAN &amp; C. SNC</t>
  </si>
  <si>
    <t>VIA PORTA AGRIGENTO, 131</t>
  </si>
  <si>
    <t>RAFFADALI</t>
  </si>
  <si>
    <t>saivsnc@alice.it</t>
  </si>
  <si>
    <t>F.LLI DAINO SNC DI DAINO MICHELE &amp; C.</t>
  </si>
  <si>
    <t>VIA MAZZINI, 17</t>
  </si>
  <si>
    <t>CALTAGIRONE</t>
  </si>
  <si>
    <t>CT</t>
  </si>
  <si>
    <t>dainofratelli@gmail.com</t>
  </si>
  <si>
    <t>BALSAMO ROSA MARIA &amp; C. SNC</t>
  </si>
  <si>
    <t>VIA PAOLO VASTA, 1</t>
  </si>
  <si>
    <t>ACIREALE</t>
  </si>
  <si>
    <t>buffetti9021@tin.it</t>
  </si>
  <si>
    <t>NEW BUSINESS SRL</t>
  </si>
  <si>
    <t>VIA DELLA REGIONE, 148</t>
  </si>
  <si>
    <t>SAN GIOVANNI LA PUNTA</t>
  </si>
  <si>
    <t>newbusiness.srl@outlook.it</t>
  </si>
  <si>
    <t>CAVALLARO GIOVANNI</t>
  </si>
  <si>
    <t>VIALE LIBERTA, 132</t>
  </si>
  <si>
    <t>GIARRE</t>
  </si>
  <si>
    <t>modulartufficio@gmail.com</t>
  </si>
  <si>
    <t>CARTOLERIA S. DI PAOLA S.R.L.</t>
  </si>
  <si>
    <t>CORSO MARTIRI DELLA LIBERTA, 24</t>
  </si>
  <si>
    <t>CATANIA</t>
  </si>
  <si>
    <t>dipaolasalvatore2@virgilio.it</t>
  </si>
  <si>
    <t>LA TECNICA SAS DI LANZAFAME MAURIZIO E C.</t>
  </si>
  <si>
    <t>VIA GIUFFRIDA VINCENZO, 2/I</t>
  </si>
  <si>
    <t>latecnica@tnet.it</t>
  </si>
  <si>
    <t>FRATELLI  DESSI' DI MARIO DESSI' SRL</t>
  </si>
  <si>
    <t>CORSO VITTORIO EMANUELE II 30</t>
  </si>
  <si>
    <t>CAGLIARI</t>
  </si>
  <si>
    <t>CA</t>
  </si>
  <si>
    <t>20 - Sardegna</t>
  </si>
  <si>
    <t>fratellidessi@hotmail.com</t>
  </si>
  <si>
    <t>SELEZIONE UFFICIO SNC DI ALFREDO GODEL E BRUNELLA PERRA</t>
  </si>
  <si>
    <t>VIA ROSAS, 8</t>
  </si>
  <si>
    <t>QUARTU SANT'ELENA</t>
  </si>
  <si>
    <t>info@selezioneufficio.it</t>
  </si>
  <si>
    <t>CAO MAURIZIO</t>
  </si>
  <si>
    <t>CORSO EUROPA 14</t>
  </si>
  <si>
    <t>ASSEMINI</t>
  </si>
  <si>
    <t>cartolibreriacao@tiscalinet.it</t>
  </si>
  <si>
    <t>FORMUFFICIO.IT DI MANCA FRANCESCO</t>
  </si>
  <si>
    <t>VIA GRAMSCI, 31</t>
  </si>
  <si>
    <t>CARBONIA</t>
  </si>
  <si>
    <t>SU</t>
  </si>
  <si>
    <t>info@formufficio.it</t>
  </si>
  <si>
    <t>PUDDU FRANCESCO</t>
  </si>
  <si>
    <t>VIA SANTA MARIA CHIARA 70</t>
  </si>
  <si>
    <t>marinapuddu@tiscali.it</t>
  </si>
  <si>
    <t>SARDEGNA SNC DI COCCO MARIA BONARIA &amp; C.</t>
  </si>
  <si>
    <t>VIA CARLO FELICE, 91</t>
  </si>
  <si>
    <t>SANTA TERESA DI GALLURA</t>
  </si>
  <si>
    <t>SS</t>
  </si>
  <si>
    <t>bonariacocco@tiscali.it</t>
  </si>
  <si>
    <t>SISTEMA UFFICIO SRL</t>
  </si>
  <si>
    <t>VIALE COSTA SMERALDA 18 CDE</t>
  </si>
  <si>
    <t>ARZACHENA</t>
  </si>
  <si>
    <t>amministrazione@sistemaufficiosrl.it</t>
  </si>
  <si>
    <t>CANU ANDREA SAS DI LUCIA CANU &amp; C.</t>
  </si>
  <si>
    <t>VIA SASSARI, 59/B</t>
  </si>
  <si>
    <t>PORTO TORRES</t>
  </si>
  <si>
    <t>andreacanu@virgilio.it</t>
  </si>
  <si>
    <t>EUREKART SRL</t>
  </si>
  <si>
    <t>VIA GENOVA 57 /A</t>
  </si>
  <si>
    <t>OLBIA</t>
  </si>
  <si>
    <t>eurekartsrl@virgilio.it</t>
  </si>
  <si>
    <t>OFFICE STORE S.R.L</t>
  </si>
  <si>
    <t>VIALE UMBERTO I, 63</t>
  </si>
  <si>
    <t>SASSARI</t>
  </si>
  <si>
    <t>officestore@tiscali.it</t>
  </si>
  <si>
    <t>CARTOLIMA SRL</t>
  </si>
  <si>
    <t>VIA PASQUALE PAOLI, 39</t>
  </si>
  <si>
    <t>cartolimasrl@gmail.com</t>
  </si>
  <si>
    <t>OFFICELANDIA SRL</t>
  </si>
  <si>
    <t>VIA XX SETTEMBRE, 39</t>
  </si>
  <si>
    <t>ALGHERO</t>
  </si>
  <si>
    <t>officelandia.alghero@gmail.com</t>
  </si>
  <si>
    <t>CARTOLERIA ADDARI SNC DI ADDARI MARIO E RAIMONDO</t>
  </si>
  <si>
    <t>VIA CALAMIDA, 11 /13</t>
  </si>
  <si>
    <t>NUORO</t>
  </si>
  <si>
    <t>NU</t>
  </si>
  <si>
    <t>info@cartoleria-addari.com</t>
  </si>
  <si>
    <t>THAMIS SNC DI PIRAS PIER P. E POMPIANU L</t>
  </si>
  <si>
    <t>VIA MARCEDDI, 38</t>
  </si>
  <si>
    <t>TERRALBA</t>
  </si>
  <si>
    <t>OR</t>
  </si>
  <si>
    <t>buffetti.terralba@tiscali.it</t>
  </si>
  <si>
    <t>DUEG SOCIETA' COOPERATIVA</t>
  </si>
  <si>
    <t>VIA LOFFREDO, 1</t>
  </si>
  <si>
    <t>ORISTANO</t>
  </si>
  <si>
    <t>info@duegoristano.it</t>
  </si>
  <si>
    <t>EUROFFICE DI GIUSTO STEFANO</t>
  </si>
  <si>
    <t>VIA NICOLA DE GIOSA, 56</t>
  </si>
  <si>
    <t>BARI</t>
  </si>
  <si>
    <t>info@euroffice-bari.com</t>
  </si>
  <si>
    <t>LINEA UFFICIO DI AVELLINO CINZIA LUCIANA</t>
  </si>
  <si>
    <t>VIA CAVOUR, 3</t>
  </si>
  <si>
    <t>LOMAZZO</t>
  </si>
  <si>
    <t>l.ufficiolomazzo@virgilio.it</t>
  </si>
  <si>
    <t>QUALITA' UFFICIO DI MICUCCI CARLO</t>
  </si>
  <si>
    <t>VIA DEI SERPENTI, 73</t>
  </si>
  <si>
    <t>qualitaufficio@interfree.it</t>
  </si>
  <si>
    <t>CARTOGRAFICA MERIDIONALE SRL</t>
  </si>
  <si>
    <t>VIA C. RICOTTI, 84</t>
  </si>
  <si>
    <t>cartografica2004@libero.it</t>
  </si>
  <si>
    <t>T.&amp;C. OFFICE AUTOMATION DI MAGGIORE ANNAMARIA</t>
  </si>
  <si>
    <t>VIA DEL BOSCO, 139A</t>
  </si>
  <si>
    <t>tec.office@tiscali.it</t>
  </si>
  <si>
    <t>EUROCOPIE SNC DI LORENZO AVELLINO E C.</t>
  </si>
  <si>
    <t>VIA SPINELLA, 4</t>
  </si>
  <si>
    <t>UBOLDO</t>
  </si>
  <si>
    <t>info@eurocopie.net</t>
  </si>
  <si>
    <t>STM SRL</t>
  </si>
  <si>
    <t>VIA EMPOLITANA, 196</t>
  </si>
  <si>
    <t>TIVOLI</t>
  </si>
  <si>
    <t>emanuele.romanzi16@gmail.com</t>
  </si>
  <si>
    <t>CARTOTECNICA LO SCHIZZO DI COSETTA STEFANONI</t>
  </si>
  <si>
    <t>CORSO GARIBALDI, 52</t>
  </si>
  <si>
    <t>CHIAVARI</t>
  </si>
  <si>
    <t>lo-schizzo@tiscali.it</t>
  </si>
  <si>
    <t>IDEE E SVILUPPI DI PARISI SALVATORE</t>
  </si>
  <si>
    <t>VIA 28 GIUGNO 1966, 8</t>
  </si>
  <si>
    <t>TERME VIGLIATORE</t>
  </si>
  <si>
    <t>ideesviluppi@tin.it</t>
  </si>
  <si>
    <t>TARQUINIA UFFICIO DI TOGNAZZINI GIANLUCA</t>
  </si>
  <si>
    <t>VIA DELLE CROCI, 9-11</t>
  </si>
  <si>
    <t>TARQUINIA</t>
  </si>
  <si>
    <t>tarquiniaufficio@tiscali.it</t>
  </si>
  <si>
    <t>MAIOLI SRL</t>
  </si>
  <si>
    <t>VIA FARINI, 34D</t>
  </si>
  <si>
    <t>info@maiolisrl.com</t>
  </si>
  <si>
    <t>MILCOPY DI VENUTI ANTONIO</t>
  </si>
  <si>
    <t>VIA ETTORE PONTI, 21</t>
  </si>
  <si>
    <t>milcopy@libero.it</t>
  </si>
  <si>
    <t>SPAK MARKET SRL</t>
  </si>
  <si>
    <t>VIA ARBA, 8</t>
  </si>
  <si>
    <t>MANIAGO</t>
  </si>
  <si>
    <t>info@spaksupermercati.it</t>
  </si>
  <si>
    <t>UFFICIO FORNITURE DI EUGENIO FARINELLI</t>
  </si>
  <si>
    <t>VIA RODRIGUEZ PEREIRA,110/112</t>
  </si>
  <si>
    <t>eugeniofarinelli@gmail.com</t>
  </si>
  <si>
    <t>CARTOTECNICA LO SCHIZZO COSETTA STEFANONI</t>
  </si>
  <si>
    <t>CORSO GOFFREDO MAMELI, 329</t>
  </si>
  <si>
    <t>RAPALLO</t>
  </si>
  <si>
    <t>9518@gruppobuffetti.it</t>
  </si>
  <si>
    <t>DUEBI SAS DI SILVIA BALDINI &amp; C.</t>
  </si>
  <si>
    <t>STRADA STATALE SUD, 113</t>
  </si>
  <si>
    <t>antonella.baldini@duebi.tv</t>
  </si>
  <si>
    <t>GAIA SRLS</t>
  </si>
  <si>
    <t>VIA ABETI, 46</t>
  </si>
  <si>
    <t>PESARO</t>
  </si>
  <si>
    <t>commerciale@buffettipesaro.it</t>
  </si>
  <si>
    <t>CARTOLERIA LB DI ZANOBONI MARCO</t>
  </si>
  <si>
    <t>VIA CASSIA, 206</t>
  </si>
  <si>
    <t>TAVERNUZZE</t>
  </si>
  <si>
    <t>ppggla@virgilio.it</t>
  </si>
  <si>
    <t>CARTOLANDIA DI SABRINA MANCO</t>
  </si>
  <si>
    <t>DI LEUCA, 221D</t>
  </si>
  <si>
    <t>cartolandia.lecce@gmail.com</t>
  </si>
  <si>
    <t>CARTOSERVI SAS DI PORRATI R. C.</t>
  </si>
  <si>
    <t>VIA BERGAMO, 24</t>
  </si>
  <si>
    <t>ALESSANDRIA</t>
  </si>
  <si>
    <t>roberto.porrati@cartoservi.com</t>
  </si>
  <si>
    <t>FORNITURE UFFICIO DI MICAELA SGUERA</t>
  </si>
  <si>
    <t>VIA QUINTINO SELLA, 38</t>
  </si>
  <si>
    <t>fornitureufficio19@libero.it</t>
  </si>
  <si>
    <t>CARTOLERIA NEW OFFICE SCHOOL SNC DI SCABBIO I. &amp; CARLIN P.</t>
  </si>
  <si>
    <t>VIA F.LLI GRIGOLETTO E PASQUALATO, 5</t>
  </si>
  <si>
    <t>QUARTO D'ALTINO</t>
  </si>
  <si>
    <t>10001@gruppobuffetti.it</t>
  </si>
  <si>
    <t>ORGANIZZAZIONE 3 A SNC DI MARABOTTO FRANCA &amp; C.</t>
  </si>
  <si>
    <t>P.ZZA DEL POPOLO, 44R</t>
  </si>
  <si>
    <t>SAVONA</t>
  </si>
  <si>
    <t>SV</t>
  </si>
  <si>
    <t>10003@gruppobuffetti.it</t>
  </si>
  <si>
    <t>CASCIO GAETANO</t>
  </si>
  <si>
    <t>VIALE ARMANDO DIAZ, 74/76</t>
  </si>
  <si>
    <t>ENNA</t>
  </si>
  <si>
    <t>EN</t>
  </si>
  <si>
    <t>10006@gruppobuffetti.it</t>
  </si>
  <si>
    <t>FIRST STEP SAS DI UCCELLA GIOVANNI</t>
  </si>
  <si>
    <t>VIA DEGLI ARANCI, 141A</t>
  </si>
  <si>
    <t>SORRENTO</t>
  </si>
  <si>
    <t>10008@gruppobuffetti.it</t>
  </si>
  <si>
    <t>GIUMAR MULTISERVICE SAS DI MELE M. &amp; C.</t>
  </si>
  <si>
    <t>VIA CIRO MENOTTI ang. S. PELLICO</t>
  </si>
  <si>
    <t>SINISCOLA</t>
  </si>
  <si>
    <t>10009@gruppobuffetti.it</t>
  </si>
  <si>
    <t>CARTOLIBRERIA RIDOLFO SNC DI SMANTELLO V. E CAMPIONE G.</t>
  </si>
  <si>
    <t>VIA IV NOVEMBRE, 21A</t>
  </si>
  <si>
    <t>NICOSIA</t>
  </si>
  <si>
    <t>10010@gruppobuffetti.it</t>
  </si>
  <si>
    <t>CARTOLIBRERIA GLORIA DI FADINI NIVES</t>
  </si>
  <si>
    <t>VIA GIUSEPPE GARIBALDI, 21</t>
  </si>
  <si>
    <t>BOVOLONE</t>
  </si>
  <si>
    <t>10011@gruppobuffetti.it</t>
  </si>
  <si>
    <t>ELIOTECNICA DI MARRA LEO &amp; C. SNC</t>
  </si>
  <si>
    <t>PIAZZA COSTITUZIONE, 45</t>
  </si>
  <si>
    <t>PIOMBINO</t>
  </si>
  <si>
    <t>10012@gruppobuffetti.it</t>
  </si>
  <si>
    <t>OFFICE PIU' DI CORRADINI C &amp; C. SNC</t>
  </si>
  <si>
    <t>VIA FRATELLI BANDIERA, 4A</t>
  </si>
  <si>
    <t>SUZZARA</t>
  </si>
  <si>
    <t>10014@gruppobuffetti.it</t>
  </si>
  <si>
    <t>MANAGER DI ALBERTO MACELLARI</t>
  </si>
  <si>
    <t>VIA G. LEOPARDI, 64</t>
  </si>
  <si>
    <t>CIVITANOVA MARCHE</t>
  </si>
  <si>
    <t>10016@gruppobuffetti.it</t>
  </si>
  <si>
    <t>TECNODUE SNC DI BERTUZZI A. &amp; C.</t>
  </si>
  <si>
    <t>VIA PARMA, 7/9</t>
  </si>
  <si>
    <t>ASOLA</t>
  </si>
  <si>
    <t>10017@gruppobuffetti.it</t>
  </si>
  <si>
    <t>SORU MARGHERITA</t>
  </si>
  <si>
    <t>VIA CAMPANIA, 29</t>
  </si>
  <si>
    <t>MACOMER</t>
  </si>
  <si>
    <t>10018@gruppobuffetti.it</t>
  </si>
  <si>
    <t>OMEGA STORE SNC DI CATIA BACCHI E C.</t>
  </si>
  <si>
    <t>VIA NARDI, 3S</t>
  </si>
  <si>
    <t>OZZANO DELL'EMILIA</t>
  </si>
  <si>
    <t>10020@gruppobuffetti.it</t>
  </si>
  <si>
    <t>ELLE EFFE UFFICIO DI ROSSETTI FABRIZIO</t>
  </si>
  <si>
    <t>VIA GIOVANNI XXIII, 10</t>
  </si>
  <si>
    <t>CIVITA CASTELLANA</t>
  </si>
  <si>
    <t>10021@gruppobuffetti.it</t>
  </si>
  <si>
    <t>DATA SUD GROUP SRL</t>
  </si>
  <si>
    <t>VIA PASTORE, 12</t>
  </si>
  <si>
    <t>BATTIPAGLIA</t>
  </si>
  <si>
    <t>10022@gruppobuffetti.it</t>
  </si>
  <si>
    <t>CARTOLERIA LA SFINGE DI DE FILIPPO MARIA GIUSEPPA</t>
  </si>
  <si>
    <t>VIA G. SASSO, 51</t>
  </si>
  <si>
    <t>CINISELLO BALSAMO</t>
  </si>
  <si>
    <t>10023@gruppobuffetti.it</t>
  </si>
  <si>
    <t>MARTUSCIELLO GIUSEPPE DI ANTONIO MARTUSCIELLO E C. SNC</t>
  </si>
  <si>
    <t>PIAZZA DELLA REPUBBLICA, 22</t>
  </si>
  <si>
    <t>FONDI</t>
  </si>
  <si>
    <t>10024@gruppobuffetti.it</t>
  </si>
  <si>
    <t>CARTOLIBRERIA EDICOLA ANTONINI FABIANA</t>
  </si>
  <si>
    <t>VIA MARSALA, 24</t>
  </si>
  <si>
    <t>VALEGGIO SUL MINCIO</t>
  </si>
  <si>
    <t>10025@gruppobuffetti.it</t>
  </si>
  <si>
    <t>AGORA' DI MELONI  ANNALISA</t>
  </si>
  <si>
    <t>VIA VICO UMBERTO I,SNC</t>
  </si>
  <si>
    <t>TORTOLI'</t>
  </si>
  <si>
    <t>10027@gruppobuffetti.it</t>
  </si>
  <si>
    <t>L'UFFICIO MODERNO DI BASSANI CORA MERCEDES</t>
  </si>
  <si>
    <t>VIA GRAMSCI, 2</t>
  </si>
  <si>
    <t>STRADELLA</t>
  </si>
  <si>
    <t>10032@gruppobuffetti.it</t>
  </si>
  <si>
    <t>LINEAUFFICIO DI STORNELLI PIERINA</t>
  </si>
  <si>
    <t>VIA ROMA, 34</t>
  </si>
  <si>
    <t>CELANO</t>
  </si>
  <si>
    <t>10033@gruppobuffetti.it</t>
  </si>
  <si>
    <t>MARTA ELVIRA</t>
  </si>
  <si>
    <t>VIA N. SAURO, 6A</t>
  </si>
  <si>
    <t>TAURIANOVA</t>
  </si>
  <si>
    <t>10034@gruppobuffetti.it</t>
  </si>
  <si>
    <t>TUTTOUFFICIO DI GIRALDO CINZIA</t>
  </si>
  <si>
    <t>VIA FIUME, 86</t>
  </si>
  <si>
    <t>LADISPOLI</t>
  </si>
  <si>
    <t>10036@gruppobuffetti.it</t>
  </si>
  <si>
    <t>CARTOLIBRERIA ITALNOVA DI PELUSI LUCIA</t>
  </si>
  <si>
    <t>VICOLO BRENTA, 10</t>
  </si>
  <si>
    <t>ROSETO DEGLI ABRUZZI</t>
  </si>
  <si>
    <t>10037@gruppobuffetti.it</t>
  </si>
  <si>
    <t>PAPER POINT DI COGONI STEFANO</t>
  </si>
  <si>
    <t>VIA SATTA, 1</t>
  </si>
  <si>
    <t>ISILI</t>
  </si>
  <si>
    <t>10038@gruppobuffetti.it</t>
  </si>
  <si>
    <t>MACCARI SAS DI MACCARI UGO E C.</t>
  </si>
  <si>
    <t>VIA MENTANA, 111</t>
  </si>
  <si>
    <t>ABBADIA SAN SALVATORE</t>
  </si>
  <si>
    <t>10039@gruppobuffetti.it</t>
  </si>
  <si>
    <t>ANNYCART CARTOLIBRERIA DI SIRIGU ANNIBALE &amp; C SAS</t>
  </si>
  <si>
    <t>VIA BRODOLINI, 12C</t>
  </si>
  <si>
    <t>SENORBI'</t>
  </si>
  <si>
    <t>10041@gruppobuffetti.it</t>
  </si>
  <si>
    <t>OFFICENTER SAS DI LONGONI ENRICO</t>
  </si>
  <si>
    <t>VIA MAZZINI, 52</t>
  </si>
  <si>
    <t>CORNAREDO</t>
  </si>
  <si>
    <t>10046@gruppobuffetti.it</t>
  </si>
  <si>
    <t>CIEFFE LASER DI CIPRIANI FLAVIO</t>
  </si>
  <si>
    <t>VIA SELINUNTE, 2</t>
  </si>
  <si>
    <t>10047@gruppobuffetti.it</t>
  </si>
  <si>
    <t>CARTOLERIA VIA ROMA DI SGOMBRA LEONARDO</t>
  </si>
  <si>
    <t>MAGIONE</t>
  </si>
  <si>
    <t>10048@gruppobuffetti.it</t>
  </si>
  <si>
    <t>MEDIABLU DI FAVALE STEFANO DOMENICO</t>
  </si>
  <si>
    <t>VIA TRIBUNA, 71</t>
  </si>
  <si>
    <t>MANFREDONIA</t>
  </si>
  <si>
    <t>10049@gruppobuffetti.it</t>
  </si>
  <si>
    <t>CARTOLERIA ADUA DI BERARDI ROBERTO</t>
  </si>
  <si>
    <t>VIA ADUA, 2</t>
  </si>
  <si>
    <t>RICCIONE</t>
  </si>
  <si>
    <t>10050@gruppobuffetti.it</t>
  </si>
  <si>
    <t>CARTOLANDIA DI VICARELLI CRISTINA</t>
  </si>
  <si>
    <t>VIA DELLA STAZIONE, 13</t>
  </si>
  <si>
    <t>CAPOLONA</t>
  </si>
  <si>
    <t>10051@gruppobuffetti.it</t>
  </si>
  <si>
    <t>ARTUSO EREDI SNC</t>
  </si>
  <si>
    <t>VIA SAN DONA' 396</t>
  </si>
  <si>
    <t>FAVARO VENETO</t>
  </si>
  <si>
    <t>10053@gruppobuffetti.it</t>
  </si>
  <si>
    <t>ESACART DI TODONE MARZIA</t>
  </si>
  <si>
    <t>VIA CIRO DI PERS, 27/31</t>
  </si>
  <si>
    <t>MAJANO</t>
  </si>
  <si>
    <t>10057@gruppobuffetti.it</t>
  </si>
  <si>
    <t>MEETING SRL</t>
  </si>
  <si>
    <t>LOCALITA' RIO SNC</t>
  </si>
  <si>
    <t>CAMERINO</t>
  </si>
  <si>
    <t>10059@gruppobuffetti.it</t>
  </si>
  <si>
    <t>AZETA SERVICES &amp; CONSULTING SAS</t>
  </si>
  <si>
    <t>VIA MARTIRI DELLA LIBERTA' 1</t>
  </si>
  <si>
    <t>SUSA</t>
  </si>
  <si>
    <t>10060@gruppobuffetti.it</t>
  </si>
  <si>
    <t>IL NUOVO UFFICIO SAS DI CONTI CLAUDIO</t>
  </si>
  <si>
    <t>C.SO SAN PIETRO, 55</t>
  </si>
  <si>
    <t>ABBIATEGRASSO</t>
  </si>
  <si>
    <t>10062@gruppobuffetti.it</t>
  </si>
  <si>
    <t>VIA PAOLO VI, 23</t>
  </si>
  <si>
    <t>MONTICHIARI</t>
  </si>
  <si>
    <t>10065@gruppobuffetti.it</t>
  </si>
  <si>
    <t>CARTOLIBRERIA FERRARELLO SANTO</t>
  </si>
  <si>
    <t>VIA NAZIONALE, 43</t>
  </si>
  <si>
    <t>GANGI</t>
  </si>
  <si>
    <t>10067@gruppobuffetti.it</t>
  </si>
  <si>
    <t>TUTTO PER L'UFFICIO SNC DI FRANCO BERGOMI E C.</t>
  </si>
  <si>
    <t>P.LE EUROPA, 46</t>
  </si>
  <si>
    <t>SAREZZO</t>
  </si>
  <si>
    <t>info@tuttoperufficiosnc.it</t>
  </si>
  <si>
    <t>EUREKA ONE DI DE ANNUNTIIS TIZIANA</t>
  </si>
  <si>
    <t>P.ZZA PRIMO MAGGIO, 11</t>
  </si>
  <si>
    <t>CORSICO</t>
  </si>
  <si>
    <t>10069@gruppobuffetti.it</t>
  </si>
  <si>
    <t>IL PAPIRO SRL</t>
  </si>
  <si>
    <t>VIA GARIBALDI, 186</t>
  </si>
  <si>
    <t>PALAGONIA</t>
  </si>
  <si>
    <t>10072@gruppobuffetti.it</t>
  </si>
  <si>
    <t>LINEA UFFICIO SAS DI GIUSEPPINA NICOLOSO E C.</t>
  </si>
  <si>
    <t>CORSO ITALIA, 34</t>
  </si>
  <si>
    <t>PATERNO</t>
  </si>
  <si>
    <t>10073@gruppobuffetti.it</t>
  </si>
  <si>
    <t>VITO DE SANTIS SRL</t>
  </si>
  <si>
    <t>VIA A. VESPUCCI, 17</t>
  </si>
  <si>
    <t>CALIMERA</t>
  </si>
  <si>
    <t>10075@gruppobuffetti.it</t>
  </si>
  <si>
    <t>LA TECNICA SNC DI ROBERTA PROVERBIO &amp; C.</t>
  </si>
  <si>
    <t>CORSO MILANO, 19</t>
  </si>
  <si>
    <t>BUSTO GAROLFO</t>
  </si>
  <si>
    <t>10076@gruppobuffetti.it</t>
  </si>
  <si>
    <t>B.F.T. DI GIOVANNI TETA</t>
  </si>
  <si>
    <t>P.ZZA L. SODO, 8</t>
  </si>
  <si>
    <t>CERRETO SANNITA</t>
  </si>
  <si>
    <t>10077@gruppobuffetti.it</t>
  </si>
  <si>
    <t>ARCOBALENO SOFIA SAS DI M. &amp; F. SACRIPANTE</t>
  </si>
  <si>
    <t>VIA UGO FOSCOLO, 16</t>
  </si>
  <si>
    <t>CASTELNUOVO VOMANO</t>
  </si>
  <si>
    <t>10081@gruppobuffetti.it</t>
  </si>
  <si>
    <t>LOGIKA UFFICIO DI SANTARNECCHI ELENA &amp; C</t>
  </si>
  <si>
    <t>VIA S. MARCO, 33</t>
  </si>
  <si>
    <t>MONTECATINI TERME</t>
  </si>
  <si>
    <t>10083@gruppobuffetti.it</t>
  </si>
  <si>
    <t>DORFMANN SNC DI DORFMANN FRANCESCO E GIOVANNI</t>
  </si>
  <si>
    <t>VIA CAVOUR, 2B/C</t>
  </si>
  <si>
    <t>VENTIMIGLIA</t>
  </si>
  <si>
    <t>10084@gruppobuffetti.it</t>
  </si>
  <si>
    <t>AZ UFFICIO SRL</t>
  </si>
  <si>
    <t>VIALE EUROPA, 182</t>
  </si>
  <si>
    <t>CASTELLAMARE DI STABIA</t>
  </si>
  <si>
    <t>10085@gruppobuffetti.it</t>
  </si>
  <si>
    <t>PRIMANOTA DI AZZINI STEFANO &amp; DAVIDE SNC</t>
  </si>
  <si>
    <t>VIA PER ROVATO, 2</t>
  </si>
  <si>
    <t>ISEO</t>
  </si>
  <si>
    <t>10086@gruppobuffetti.it</t>
  </si>
  <si>
    <t>NEWMEDIAWEB SRL</t>
  </si>
  <si>
    <t>VIA FALCONE E BORSELLINO, 100M</t>
  </si>
  <si>
    <t>TERMINI IMERESE</t>
  </si>
  <si>
    <t>10087@gruppobuffetti.it</t>
  </si>
  <si>
    <t>SOGNI DEL CHIANTI DI MIRIAM MARIANI</t>
  </si>
  <si>
    <t>P.ZZA PIEROZZI, 5/6</t>
  </si>
  <si>
    <t>SAN CASCIANO VAL DI PESA</t>
  </si>
  <si>
    <t>10088@gruppobuffetti.it</t>
  </si>
  <si>
    <t>PUNTO EMME SAS DI MARZANO GIOVANNI &amp; C.</t>
  </si>
  <si>
    <t>VIA CIMAROSA, 8</t>
  </si>
  <si>
    <t>ACERRA</t>
  </si>
  <si>
    <t>10089@gruppobuffetti.it</t>
  </si>
  <si>
    <t>PALAIA SRL</t>
  </si>
  <si>
    <t>VIA SANTA MARIA, 2/4</t>
  </si>
  <si>
    <t>CATANZARO</t>
  </si>
  <si>
    <t>10091@gruppobuffetti.it</t>
  </si>
  <si>
    <t>BN UFFICI DI ROAGNA VITTORIO</t>
  </si>
  <si>
    <t>CORSO LANGHE, 30</t>
  </si>
  <si>
    <t>10094@gruppobuffetti.it</t>
  </si>
  <si>
    <t>CARTOLIBRERIA BERICA SNC DI ZAVAGNIN MARISTELLA &amp; C.</t>
  </si>
  <si>
    <t>VIA RIVIERA, 16</t>
  </si>
  <si>
    <t>NANTO</t>
  </si>
  <si>
    <t>10096@gruppobuffetti.it</t>
  </si>
  <si>
    <t>FRANCO SRL</t>
  </si>
  <si>
    <t>VIA DIAZ, 130</t>
  </si>
  <si>
    <t>GALATINA</t>
  </si>
  <si>
    <t>10099@gruppobuffetti.it</t>
  </si>
  <si>
    <t>PUNTO CART SRL</t>
  </si>
  <si>
    <t>VIA DI CORTICELLA, 134</t>
  </si>
  <si>
    <t>10101@gruppobuffetti.it</t>
  </si>
  <si>
    <t>EMMEGIEMME SRL</t>
  </si>
  <si>
    <t>VIA MILANO, 90</t>
  </si>
  <si>
    <t>BAREGGIO</t>
  </si>
  <si>
    <t>10108@gruppobuffetti.it</t>
  </si>
  <si>
    <t>CENTRO CARTA UFFICIO SRL</t>
  </si>
  <si>
    <t>VIA BENEDETTO CROCE, 7</t>
  </si>
  <si>
    <t>TREVIGLIO</t>
  </si>
  <si>
    <t>amministrazione@centrocartaufficio.it</t>
  </si>
  <si>
    <t>CARTOSHOP DI DI PROSSIMO MASSIMO E. M. &amp; C. SAS</t>
  </si>
  <si>
    <t>VIA PIAVE, 2</t>
  </si>
  <si>
    <t>PIAZZA ARMERINA</t>
  </si>
  <si>
    <t>10111@gruppobuffetti.it</t>
  </si>
  <si>
    <t>COPY SERVICE DI TEZZE STEFANO</t>
  </si>
  <si>
    <t>VIA LORENZONI, 1A</t>
  </si>
  <si>
    <t>MONTECCHIO MAGGIORE</t>
  </si>
  <si>
    <t>10113@gruppobuffetti.it</t>
  </si>
  <si>
    <t>LIBRERIA MOSCA SAS DI ANTONIO MOSCA &amp; C.</t>
  </si>
  <si>
    <t>VIA MEDICI, 287</t>
  </si>
  <si>
    <t>SANT'AGATA DI MILITELLO</t>
  </si>
  <si>
    <t>10114@gruppobuffetti.it</t>
  </si>
  <si>
    <t>IL PUNTO DI RENATO SALA</t>
  </si>
  <si>
    <t>VIA CASTELLO, 18</t>
  </si>
  <si>
    <t>10115@gruppobuffetti.it</t>
  </si>
  <si>
    <t>CENTRO STAMPA 2.0 SOC.COOP. A R.L.</t>
  </si>
  <si>
    <t>VIA E.FILIBERTO TESTA FERRO, 42</t>
  </si>
  <si>
    <t>SABAUDIA</t>
  </si>
  <si>
    <t>10116@gruppobuffetti.it</t>
  </si>
  <si>
    <t>CARTOTECNICA ROMA SNC DI CALDIERON S. E ROSSI P.</t>
  </si>
  <si>
    <t>VIA S. GIOVANNI, 33</t>
  </si>
  <si>
    <t>BADIA POLESINE</t>
  </si>
  <si>
    <t>10122@gruppobuffetti.it</t>
  </si>
  <si>
    <t>PUNTO SCUOLA SNC DI ALEX  BONATO &amp; C.</t>
  </si>
  <si>
    <t>VIA DON ORIONE, 11A</t>
  </si>
  <si>
    <t>TREBASELEGHE</t>
  </si>
  <si>
    <t>10123@gruppobuffetti.it</t>
  </si>
  <si>
    <t>VIA DEGLI ABETI, 46</t>
  </si>
  <si>
    <t>PS</t>
  </si>
  <si>
    <t>10126@gruppobuffetti.it</t>
  </si>
  <si>
    <t>TUTTO IDEA 2 DI LA NAIA CHRISTIAN</t>
  </si>
  <si>
    <t>C.SO SAN VITO, 134</t>
  </si>
  <si>
    <t>MASCALUCIA</t>
  </si>
  <si>
    <t>10127@gruppobuffetti.it</t>
  </si>
  <si>
    <t>LA TAVOLOZZA SNC DI GHERARDI SERENA E PAOLA</t>
  </si>
  <si>
    <t>VIA LOCATELLI, 5/7/9</t>
  </si>
  <si>
    <t>ALME'</t>
  </si>
  <si>
    <t>10128@gruppobuffetti.it</t>
  </si>
  <si>
    <t>NEL MONDO DELLA CARTA DI GOZZI MONIA</t>
  </si>
  <si>
    <t>VIALE LUNIGIANA, 33</t>
  </si>
  <si>
    <t>AULLA</t>
  </si>
  <si>
    <t>10131@gruppobuffetti.it</t>
  </si>
  <si>
    <t>IL PUNTO UFFICIO DI SCHILIRO' FRANCESCO</t>
  </si>
  <si>
    <t>VIA MANZONI, 42</t>
  </si>
  <si>
    <t>GARBAGNATE</t>
  </si>
  <si>
    <t>10134@gruppobuffetti.it</t>
  </si>
  <si>
    <t>EASY REGENERATION DI PUCCI FILOMENA</t>
  </si>
  <si>
    <t>VIA LOCRI, SNC</t>
  </si>
  <si>
    <t>CORIGLIANO CALABRO</t>
  </si>
  <si>
    <t>10136@gruppobuffetti.it</t>
  </si>
  <si>
    <t>LIB.PIROLA IL CARTOLAIO SNC DI BRAMBILLA LILIANA</t>
  </si>
  <si>
    <t>P.ZZA G. MARCONI, 7D</t>
  </si>
  <si>
    <t>VIMERCATE</t>
  </si>
  <si>
    <t>10138@gruppobuffetti.it</t>
  </si>
  <si>
    <t>CAPRICCI QUOTIDIANI DI PEZZONI PAOLA</t>
  </si>
  <si>
    <t>VIA FANTI D'ITALIA, 9C</t>
  </si>
  <si>
    <t>LANGHIRANO</t>
  </si>
  <si>
    <t>10142@gruppobuffetti.it</t>
  </si>
  <si>
    <t>PAPER'S SHOP DI DI FONZA CONCETTINA</t>
  </si>
  <si>
    <t>CORSO UMBERTO I, 361</t>
  </si>
  <si>
    <t>MARIGLIANO</t>
  </si>
  <si>
    <t>10143@gruppobuffetti.it</t>
  </si>
  <si>
    <t>PAPYRUS DI SENATORE PASQUALE</t>
  </si>
  <si>
    <t>VIA TAFURI, 5</t>
  </si>
  <si>
    <t>CAVA DE' TIRRENI</t>
  </si>
  <si>
    <t>10144@gruppobuffetti.it</t>
  </si>
  <si>
    <t>CARTOLIBRERIA VARI DI G &amp; P SRLS</t>
  </si>
  <si>
    <t>VIALE R. ELENA, 20</t>
  </si>
  <si>
    <t>CORTONA</t>
  </si>
  <si>
    <t>10145@gruppobuffetti.it</t>
  </si>
  <si>
    <t>COPY CENTER DI OSSINO MARINELLA</t>
  </si>
  <si>
    <t>VIA CICERONE, 9</t>
  </si>
  <si>
    <t>LENTINI</t>
  </si>
  <si>
    <t>10146@gruppobuffetti.it</t>
  </si>
  <si>
    <t>MILLE IDEE DI ZANIN FLAVIO &amp; C SNC</t>
  </si>
  <si>
    <t>VIA IV NOVEMBRE, 174</t>
  </si>
  <si>
    <t>CEGGIA</t>
  </si>
  <si>
    <t>10148@gruppobuffetti.it</t>
  </si>
  <si>
    <t>VIA TRIESTE, 15</t>
  </si>
  <si>
    <t>CAPO D'ORLANDO</t>
  </si>
  <si>
    <t>10149@GRUPPOBUFFETTI.IT</t>
  </si>
  <si>
    <t>CALAMAIO VINCENZO</t>
  </si>
  <si>
    <t>C.SO G. SARTORIO, 229</t>
  </si>
  <si>
    <t>LERCARA FRIDDI</t>
  </si>
  <si>
    <t>10152@gruppobuffetti.it</t>
  </si>
  <si>
    <t>LO SCOLARO DI LOBINA A. SAS</t>
  </si>
  <si>
    <t>VIA NORA, 157</t>
  </si>
  <si>
    <t>PULA</t>
  </si>
  <si>
    <t>10154@gruppobuffetti.it</t>
  </si>
  <si>
    <t>CARTIDEA S.A.S DI RAPISARDA MARIA ANGELA &amp; C</t>
  </si>
  <si>
    <t>C.SO INDIPENDENZA, 20</t>
  </si>
  <si>
    <t>cartidea@gruppobuffetti.it</t>
  </si>
  <si>
    <t>MINEO NICOLA LIBRERIA</t>
  </si>
  <si>
    <t>CORSO ODIERNA, 510</t>
  </si>
  <si>
    <t>PALMA DI MONTECHIARO</t>
  </si>
  <si>
    <t>10156@gruppobuffetti.it</t>
  </si>
  <si>
    <t>LEOCI MARIA</t>
  </si>
  <si>
    <t>VIA ALDO MORO, 95/97</t>
  </si>
  <si>
    <t>TRAVAGLIATO</t>
  </si>
  <si>
    <t>10157@GRUPPOBUFFETTI.IT</t>
  </si>
  <si>
    <t>ASTRO FORNITURE DI BORELLA MARIO</t>
  </si>
  <si>
    <t>VIA CISA, 7</t>
  </si>
  <si>
    <t>PORTO MANTOVANO</t>
  </si>
  <si>
    <t>10160@GRUPPOBUFFETTI.IT</t>
  </si>
  <si>
    <t>PEGASUS 2 DI ALIBERTI LUCA</t>
  </si>
  <si>
    <t>VIA LORIA, 41/43</t>
  </si>
  <si>
    <t>10161@gruppobuffetti.it</t>
  </si>
  <si>
    <t>GLOBUS SNC DI RUGGIERO MASSIMO</t>
  </si>
  <si>
    <t>VIA LETTERIO, 4</t>
  </si>
  <si>
    <t>10162@gruppobuffetti.it</t>
  </si>
  <si>
    <t>COSENTINO ERNESTO ANTONIO</t>
  </si>
  <si>
    <t>PIAZZA UMBERTO, 40</t>
  </si>
  <si>
    <t>VIZZINI</t>
  </si>
  <si>
    <t>10164@GRUPPOBUFFETTI.IT</t>
  </si>
  <si>
    <t>COPYCENTER SNC DI CAMPILONGO ANTONIO</t>
  </si>
  <si>
    <t>VIA GALENO  SNC</t>
  </si>
  <si>
    <t>ROSSANO</t>
  </si>
  <si>
    <t>10165@GRUPPOBUFFETTI.IT</t>
  </si>
  <si>
    <t>KING OF GRAPHICS DI MIRANDA ESTER</t>
  </si>
  <si>
    <t>VIA LUIGI ROCCO, 101</t>
  </si>
  <si>
    <t>ARZANO</t>
  </si>
  <si>
    <t>10166@GRUPPOBUFFETTI.IT</t>
  </si>
  <si>
    <t>GOMMA E MATITA DI AUTIERO PIETRO</t>
  </si>
  <si>
    <t>VIA SILIO ITALICO, 56E</t>
  </si>
  <si>
    <t>10169@gruppobuffetti.it</t>
  </si>
  <si>
    <t>CARTAMONDO DI MONTALTO MARTA FRANCESCA</t>
  </si>
  <si>
    <t>VIA VALLE DEL NETO, 12/14/16</t>
  </si>
  <si>
    <t>RENDE</t>
  </si>
  <si>
    <t>10170@GRUPPOBUFFETTI.IT</t>
  </si>
  <si>
    <t>INFORMATIKA SAS DI LOCASCIO LAURA &amp; C.</t>
  </si>
  <si>
    <t>VIA SALEMI, 182</t>
  </si>
  <si>
    <t>MAZARA DEL VALLO</t>
  </si>
  <si>
    <t>10171@GRUPPOBUFFETTI.IT</t>
  </si>
  <si>
    <t>LA CARTOLIBRERIA EMY SRL</t>
  </si>
  <si>
    <t>VIA FOSSE  ARDEATINE, 35</t>
  </si>
  <si>
    <t>10172@GRUPPOBUFFETTI.IT</t>
  </si>
  <si>
    <t>ELLEGI CARTA DI CATANIA LORENZO</t>
  </si>
  <si>
    <t>VIA MATTEOTTI, 119</t>
  </si>
  <si>
    <t>MISTERBIANCO</t>
  </si>
  <si>
    <t>10173@GRUPPOBUFFETTI.IT</t>
  </si>
  <si>
    <t>GIRASA GIUSEPPE</t>
  </si>
  <si>
    <t>VIA SACRO CUORE, 1</t>
  </si>
  <si>
    <t>MODICA</t>
  </si>
  <si>
    <t>10175@gruppobuffetti.it</t>
  </si>
  <si>
    <t>CRC DI DE BERNARDI C &amp; C SAS</t>
  </si>
  <si>
    <t>VIA GIUSEPPE MAZZINI, 5B</t>
  </si>
  <si>
    <t>COLICO</t>
  </si>
  <si>
    <t>10177@GRUPPOBUFFETTI.IT</t>
  </si>
  <si>
    <t>AL 63 DI TORRISI NELLO MARCO</t>
  </si>
  <si>
    <t>PIAZZA SANT'ALFIO, 62</t>
  </si>
  <si>
    <t>TRECASTAGNI</t>
  </si>
  <si>
    <t>10178@GRUPPOBUFFETTI.IT</t>
  </si>
  <si>
    <t>CARTOLIBRERIA MORRONE SAS DI MORRONE FEDERICA &amp; C.</t>
  </si>
  <si>
    <t>VIA L. DA VINCI, 34/36</t>
  </si>
  <si>
    <t>10179@gruppobuffetti.it</t>
  </si>
  <si>
    <t>MIG ELECTRONICS DI MILANI IGOR</t>
  </si>
  <si>
    <t>VIA DEI GLICINI, 7A/9</t>
  </si>
  <si>
    <t>10180@gruppobuffetti.it</t>
  </si>
  <si>
    <t>PAROLE E PENSIERI DI GAMBERALE FERNANDO</t>
  </si>
  <si>
    <t>VIA PO ANGOLO V.LE I MAGGIO SNC</t>
  </si>
  <si>
    <t>10181@gruppobuffetti.it</t>
  </si>
  <si>
    <t>VERBANO CARTE SRL</t>
  </si>
  <si>
    <t>VIA LAVENO, 74</t>
  </si>
  <si>
    <t>CITTIGLIO</t>
  </si>
  <si>
    <t>10183@gruppobuffetti.it</t>
  </si>
  <si>
    <t>2R SAS DI MORONE M. VALENTINO &amp; C.</t>
  </si>
  <si>
    <t>CORSO CAVOUR, 68</t>
  </si>
  <si>
    <t>MORTARA</t>
  </si>
  <si>
    <t>10185@GRUPPOBUFFETTI.IT</t>
  </si>
  <si>
    <t>TICINOUFFICIO DI CIVARDI ALESSANDRO</t>
  </si>
  <si>
    <t>VIALE LIBERTA,' 53</t>
  </si>
  <si>
    <t>10186@GRUPPOBUFFETTI.IT</t>
  </si>
  <si>
    <t>LA COCCINELLA SNC DI FIORIGELSO B.E SAVIOLI M.</t>
  </si>
  <si>
    <t>PIAZZA DELLA RESISTENZA, 8</t>
  </si>
  <si>
    <t>ALFONSINE</t>
  </si>
  <si>
    <t>10187@GRUPPOBUFFETTI.IT</t>
  </si>
  <si>
    <t>IL CONT'ABILE S.A.S. DI BOSI CRISTINA &amp; C.</t>
  </si>
  <si>
    <t>VIA PASCOLI, 5</t>
  </si>
  <si>
    <t>SAN PIERO IN BAGNO</t>
  </si>
  <si>
    <t>10188@GRUPPOBUFFETTI.IT</t>
  </si>
  <si>
    <t>ELIOCRIS SRL</t>
  </si>
  <si>
    <t>VIA SAN NICOLA, 45</t>
  </si>
  <si>
    <t>VIADANA</t>
  </si>
  <si>
    <t>10189@GRUPPOBUFFETTI.IT</t>
  </si>
  <si>
    <t>CARTIERE PAOLO PIGNA SPA</t>
  </si>
  <si>
    <t>VIALE PIAVE, 1</t>
  </si>
  <si>
    <t>ALZANO LOMBARDO</t>
  </si>
  <si>
    <t>10190@GRUPPOBUFFETTI.IT</t>
  </si>
  <si>
    <t>LONGO CARTOLERIA FISCALE DI ARRIGHI EZIO</t>
  </si>
  <si>
    <t>VIA BONFIGLIO 41</t>
  </si>
  <si>
    <t>10191@gruppobuffetti.it</t>
  </si>
  <si>
    <t>SARTORATO MIRCO CARTOLIBRERIA</t>
  </si>
  <si>
    <t>VIA PESCHIERE, 7</t>
  </si>
  <si>
    <t>DOSSON</t>
  </si>
  <si>
    <t>10192@GRUPPOBUFFETTI.IT</t>
  </si>
  <si>
    <t>CARTOLERIA BONAZZI SAS DI PAOLA BONAZZI &amp; C.</t>
  </si>
  <si>
    <t>PIAZZA BERTACCHI, 5</t>
  </si>
  <si>
    <t>CHIAVENNA</t>
  </si>
  <si>
    <t>10193@GRUPPOBUFFETTI.IT</t>
  </si>
  <si>
    <t>M &amp; M DI FLAMINIO MICHELE</t>
  </si>
  <si>
    <t>VIA DEL CASSANO, 28</t>
  </si>
  <si>
    <t>10194@GRUPPOBUFFETTI.IT</t>
  </si>
  <si>
    <t>LA CART SAS DI SPAGNOLO MARIA LUCIA</t>
  </si>
  <si>
    <t>VIA XXIV MAGGIO, 139</t>
  </si>
  <si>
    <t>BOVALINO</t>
  </si>
  <si>
    <t>10195@GRUPPOBUFFETTI.IT</t>
  </si>
  <si>
    <t>3B SERVIZI TELEMATICI DI BOCCONE DONATO</t>
  </si>
  <si>
    <t>CORSO G. FORTUNATO, 29A</t>
  </si>
  <si>
    <t>LAVELLO</t>
  </si>
  <si>
    <t>10196@GRUPPOBUFFETTI.IT</t>
  </si>
  <si>
    <t>TUTTUFFICIO SRL</t>
  </si>
  <si>
    <t>LARGO PRADELLA, 2</t>
  </si>
  <si>
    <t>10197@GRUPPOBUFFETTI.IT</t>
  </si>
  <si>
    <t>TUTTO PER L'UFFICIO SNC DI GIANNINI VALERIA E WALTER</t>
  </si>
  <si>
    <t>VIA  DANTE ALIGHIERI, 8</t>
  </si>
  <si>
    <t>BINASCO</t>
  </si>
  <si>
    <t>10198@gruppobuffetti.it</t>
  </si>
  <si>
    <t>LA PIRAMIDE SAS DI MOLISSO CIRO E C.</t>
  </si>
  <si>
    <t>VIA ROSSI, 118</t>
  </si>
  <si>
    <t>VOLLA</t>
  </si>
  <si>
    <t>10199@GRUPPOBUFFETTI.IT</t>
  </si>
  <si>
    <t>CPM COMPUTER &amp; SERVICE SNC DI VALERIANI MICHELE E C.</t>
  </si>
  <si>
    <t>VIA ARGINE SPINI, 41</t>
  </si>
  <si>
    <t>PORTO VIRO</t>
  </si>
  <si>
    <t>10200@GRUPPOBUFFETTI.IT</t>
  </si>
  <si>
    <t>EMMEDI INFORMATICA DI MANSELLA DOMENICO</t>
  </si>
  <si>
    <t>CORSO UMBERTO I, 376</t>
  </si>
  <si>
    <t>SAN GIOVANNI GEMINI</t>
  </si>
  <si>
    <t>10201@GRUPPOBUFFETTI.IT</t>
  </si>
  <si>
    <t>PIETROBON SAS DI PIETROBON STEFANO &amp; C.</t>
  </si>
  <si>
    <t>VIA  DANTE, 17 IV</t>
  </si>
  <si>
    <t>PIOMBINO DESE</t>
  </si>
  <si>
    <t>10202@GRUPPOBUFFETTI.IT</t>
  </si>
  <si>
    <t>CARTOMANIA 2 DI ARNALDI CINZIA</t>
  </si>
  <si>
    <t>VIA ASIAGO, 35</t>
  </si>
  <si>
    <t>10203@GRUPPOBUFFETTI.IT</t>
  </si>
  <si>
    <t>M &amp; C MONDOCARTA DI HAZUKINA IRYNA</t>
  </si>
  <si>
    <t>VIA CASILINA, 57</t>
  </si>
  <si>
    <t>CASTROCIELO</t>
  </si>
  <si>
    <t>10204@GRUPPOBUFFETTI.IT</t>
  </si>
  <si>
    <t>E.P. SAS DI FUSCO RAFFAELE &amp; C.</t>
  </si>
  <si>
    <t>VIA TRIESTE, 222</t>
  </si>
  <si>
    <t>PALMA CAMPANIA</t>
  </si>
  <si>
    <t>10205@GRUPPOBUFFETTI.IT</t>
  </si>
  <si>
    <t>MAVI SOCIETA' COOPERATIVA</t>
  </si>
  <si>
    <t>VIA DOMODOSSOLA, 69</t>
  </si>
  <si>
    <t>10207@GRUPPOBUFFETTI.IT</t>
  </si>
  <si>
    <t>LINEA UFFICIO SNC DI DI BERARDINO PAOLO &amp; C.</t>
  </si>
  <si>
    <t>VIA DELL'ARTIGIANATO, 532</t>
  </si>
  <si>
    <t>CREVALCORE</t>
  </si>
  <si>
    <t>10208@GRUPPOBUFFETTI.IT</t>
  </si>
  <si>
    <t>CLIK UFFICIO DI FRAGNELLI ANDREA</t>
  </si>
  <si>
    <t>PIAZZA DELLA LIBERTA' 23</t>
  </si>
  <si>
    <t>CRISPIANO</t>
  </si>
  <si>
    <t>10209@GRUPPOBUFFETTI.IT</t>
  </si>
  <si>
    <t>POSTE ROMANE SRL</t>
  </si>
  <si>
    <t>VIA DELL'AMBA ARADA, 29A</t>
  </si>
  <si>
    <t>10210@GRUPPOBUFFETTI.IT</t>
  </si>
  <si>
    <t>MBS DI MONTEDURO ANGELO</t>
  </si>
  <si>
    <t>VIA R.A. MIGLIETTA, 67</t>
  </si>
  <si>
    <t>CAVALLINO</t>
  </si>
  <si>
    <t>10211@GRUPPOBUFFETTI.IT</t>
  </si>
  <si>
    <t>TIZIANO SNC DI GENOVA IGINO &amp; C.</t>
  </si>
  <si>
    <t>PIAZZA TIZIANO, 20</t>
  </si>
  <si>
    <t>PIEVE DI CADORE</t>
  </si>
  <si>
    <t>10212@gruppobuffetti.it</t>
  </si>
  <si>
    <t>BONADONNA ALESSIA MARIA</t>
  </si>
  <si>
    <t>VIA ISONZO, 35</t>
  </si>
  <si>
    <t>MAZZARINO</t>
  </si>
  <si>
    <t>10213@gruppobuffetti.it</t>
  </si>
  <si>
    <t>NEWALAS SRL</t>
  </si>
  <si>
    <t>VIA AUTONOMIA SICILIANA, 48</t>
  </si>
  <si>
    <t>10214@gruppobuffetti.it</t>
  </si>
  <si>
    <t>TIDIEMME SRL SOCIETA' UNIPERSONALE</t>
  </si>
  <si>
    <t>VIA MAESTRI DEL LAVORO, 7B</t>
  </si>
  <si>
    <t>10215@GRUPPOBUFFETTI.IT</t>
  </si>
  <si>
    <t>LA CARTOTECNICA DI SARTI SILVIA</t>
  </si>
  <si>
    <t>VIA PITINO, 10</t>
  </si>
  <si>
    <t>MACERATA FELTRIA</t>
  </si>
  <si>
    <t>10217@GRUPPOBUFFETTI.IT</t>
  </si>
  <si>
    <t>PASQUALI RACHELE</t>
  </si>
  <si>
    <t>VIA N. CABRINI, 79</t>
  </si>
  <si>
    <t>SANT'ANGELO LODIGIANO</t>
  </si>
  <si>
    <t>10218@GRUPPOBUFFETTI.IT</t>
  </si>
  <si>
    <t>PISANI SRL</t>
  </si>
  <si>
    <t>VIA DELLA CHIMICA, 9</t>
  </si>
  <si>
    <t>POTENZA</t>
  </si>
  <si>
    <t>10219@GRUPPOBUFFETTI.IT</t>
  </si>
  <si>
    <t>ALF COMPUTERS SNC DI LAVORGNA F. &amp; C.</t>
  </si>
  <si>
    <t>VIA S. GIOVANNI, 67-69</t>
  </si>
  <si>
    <t>EBOLI</t>
  </si>
  <si>
    <t>10220@GRUPPOBUFFETTI.IT</t>
  </si>
  <si>
    <t>FIERRO SRLS</t>
  </si>
  <si>
    <t>VIA NAZIONALE, 247</t>
  </si>
  <si>
    <t>ROCCA DI CAPRILEONE</t>
  </si>
  <si>
    <t>fierromariamelania@gmail.com</t>
  </si>
  <si>
    <t>OFFICE &amp; SCHOOL SRLS</t>
  </si>
  <si>
    <t>PIAZZA PORTA CALDARI, 24</t>
  </si>
  <si>
    <t>ORTONA</t>
  </si>
  <si>
    <t>10222@gruppobuffetti.it</t>
  </si>
  <si>
    <t>DI GIOVANNI CLAUDIA</t>
  </si>
  <si>
    <t>VIA TIBURTINA VALERIA, 51</t>
  </si>
  <si>
    <t>POPOLI</t>
  </si>
  <si>
    <t>claudia.digiovanni@tiscali.it</t>
  </si>
  <si>
    <t>VERZI CARLO ORAZIO</t>
  </si>
  <si>
    <t>VIA A. SPAMPINATO, 21D</t>
  </si>
  <si>
    <t>ADRANO</t>
  </si>
  <si>
    <t>10224@GRUPPOBUFFETTI.IT</t>
  </si>
  <si>
    <t>CARTOLA MIA SRL</t>
  </si>
  <si>
    <t>VIA IRNERIO, 37A</t>
  </si>
  <si>
    <t>10225@GRUPPOBUFFETTI.IT</t>
  </si>
  <si>
    <t>INFORMATICA ESSE DI SDEGNO CIRO</t>
  </si>
  <si>
    <t>VIA LIBERTA', 258B</t>
  </si>
  <si>
    <t>10226@GRUPPOBUFFETTI.IT</t>
  </si>
  <si>
    <t>SCAMM CARTOLIBRERIA DI PUGLISI MICHELE</t>
  </si>
  <si>
    <t>VIA V. EMANUELE, 106</t>
  </si>
  <si>
    <t>ACI SANT'ANTONIO</t>
  </si>
  <si>
    <t>10227@GRUPPOBUFFETTI.IT</t>
  </si>
  <si>
    <t>SERVIMPRESA SRLS</t>
  </si>
  <si>
    <t>CORSO V. EMANUELE II, 133</t>
  </si>
  <si>
    <t>10229@GRUPPOBUFFETTI.IT</t>
  </si>
  <si>
    <t>IL PUNTO DI BOTTACINI ORNELLA</t>
  </si>
  <si>
    <t>VIA S.MARTINO DELLA BATTAGLIA, 43D</t>
  </si>
  <si>
    <t>SIRMIONE</t>
  </si>
  <si>
    <t>10230@GRUPPOBUFFETTI.IT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</si>
</sst>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66"/>
  <sheetViews>
    <sheetView tabSelected="1" workbookViewId="0">
      <selection activeCell="B767" sqref="B767"/>
    </sheetView>
  </sheetViews>
  <sheetFormatPr defaultRowHeight="15"/>
  <cols>
    <col min="1" max="1" width="9" bestFit="1" customWidth="1"/>
    <col min="2" max="2" width="68.7109375" bestFit="1" customWidth="1"/>
    <col min="3" max="3" width="50.140625" bestFit="1" customWidth="1"/>
    <col min="4" max="4" width="6" bestFit="1" customWidth="1"/>
    <col min="5" max="5" width="30.28515625" bestFit="1" customWidth="1"/>
    <col min="7" max="7" width="22.7109375" bestFit="1" customWidth="1"/>
    <col min="8" max="8" width="16.140625" bestFit="1" customWidth="1"/>
    <col min="9" max="9" width="17.5703125" bestFit="1" customWidth="1"/>
    <col min="10" max="10" width="12.85546875" bestFit="1" customWidth="1"/>
    <col min="11" max="11" width="48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1</v>
      </c>
      <c r="B2" t="s">
        <v>11</v>
      </c>
      <c r="C2" t="s">
        <v>12</v>
      </c>
      <c r="D2" t="str">
        <f>T("10137")</f>
        <v>10137</v>
      </c>
      <c r="E2" t="s">
        <v>13</v>
      </c>
      <c r="F2" t="s">
        <v>14</v>
      </c>
      <c r="G2" t="s">
        <v>15</v>
      </c>
      <c r="H2" t="s">
        <v>16</v>
      </c>
      <c r="I2" t="str">
        <f>T("01119836950")</f>
        <v>01119836950</v>
      </c>
      <c r="J2" t="str">
        <f>T("0113275419")</f>
        <v>0113275419</v>
      </c>
      <c r="K2" t="s">
        <v>17</v>
      </c>
    </row>
    <row r="3" spans="1:11">
      <c r="A3">
        <v>114</v>
      </c>
      <c r="B3" t="s">
        <v>22</v>
      </c>
      <c r="C3" t="s">
        <v>23</v>
      </c>
      <c r="D3" t="str">
        <f>T("15067")</f>
        <v>15067</v>
      </c>
      <c r="E3" t="s">
        <v>24</v>
      </c>
      <c r="F3" t="s">
        <v>25</v>
      </c>
      <c r="G3" t="s">
        <v>15</v>
      </c>
      <c r="H3" t="s">
        <v>16</v>
      </c>
      <c r="I3" t="str">
        <f>T("01432846")</f>
        <v>01432846</v>
      </c>
      <c r="J3" t="str">
        <f>T("01432846")</f>
        <v>01432846</v>
      </c>
      <c r="K3" t="s">
        <v>26</v>
      </c>
    </row>
    <row r="4" spans="1:11">
      <c r="A4">
        <v>120</v>
      </c>
      <c r="B4" t="s">
        <v>27</v>
      </c>
      <c r="C4" t="s">
        <v>28</v>
      </c>
      <c r="D4" t="str">
        <f>T("15033")</f>
        <v>15033</v>
      </c>
      <c r="E4" t="s">
        <v>29</v>
      </c>
      <c r="F4" t="s">
        <v>25</v>
      </c>
      <c r="G4" t="s">
        <v>15</v>
      </c>
      <c r="H4" t="s">
        <v>16</v>
      </c>
      <c r="I4" t="str">
        <f>T("0142454286")</f>
        <v>0142454286</v>
      </c>
      <c r="J4" t="str">
        <f>T("014255288")</f>
        <v>014255288</v>
      </c>
      <c r="K4" t="s">
        <v>30</v>
      </c>
    </row>
    <row r="5" spans="1:11">
      <c r="A5">
        <v>122</v>
      </c>
      <c r="B5" t="s">
        <v>31</v>
      </c>
      <c r="C5" t="s">
        <v>32</v>
      </c>
      <c r="D5" t="str">
        <f>T("15011")</f>
        <v>15011</v>
      </c>
      <c r="E5" t="s">
        <v>33</v>
      </c>
      <c r="F5" t="s">
        <v>25</v>
      </c>
      <c r="G5" t="s">
        <v>15</v>
      </c>
      <c r="H5" t="s">
        <v>16</v>
      </c>
      <c r="I5" t="str">
        <f>T("0144322227")</f>
        <v>0144322227</v>
      </c>
      <c r="J5" t="str">
        <f>T("0144350833")</f>
        <v>0144350833</v>
      </c>
      <c r="K5" t="s">
        <v>34</v>
      </c>
    </row>
    <row r="6" spans="1:11">
      <c r="A6">
        <v>124</v>
      </c>
      <c r="B6" t="s">
        <v>35</v>
      </c>
      <c r="C6" t="s">
        <v>36</v>
      </c>
      <c r="D6" t="str">
        <f>T("15057")</f>
        <v>15057</v>
      </c>
      <c r="E6" t="s">
        <v>37</v>
      </c>
      <c r="F6" t="s">
        <v>25</v>
      </c>
      <c r="G6" t="s">
        <v>15</v>
      </c>
      <c r="H6" t="s">
        <v>16</v>
      </c>
      <c r="I6" t="str">
        <f>T("0131862215")</f>
        <v>0131862215</v>
      </c>
      <c r="J6" t="str">
        <f>T("0131862215")</f>
        <v>0131862215</v>
      </c>
      <c r="K6" t="s">
        <v>38</v>
      </c>
    </row>
    <row r="7" spans="1:11">
      <c r="A7">
        <v>202</v>
      </c>
      <c r="B7" t="s">
        <v>35</v>
      </c>
      <c r="C7" t="s">
        <v>39</v>
      </c>
      <c r="D7" t="str">
        <f>T("14100")</f>
        <v>14100</v>
      </c>
      <c r="E7" t="s">
        <v>40</v>
      </c>
      <c r="F7" t="s">
        <v>41</v>
      </c>
      <c r="G7" t="s">
        <v>15</v>
      </c>
      <c r="H7" t="s">
        <v>16</v>
      </c>
      <c r="I7" t="str">
        <f>T("0141324091")</f>
        <v>0141324091</v>
      </c>
      <c r="J7" t="str">
        <f>T("0141530317")</f>
        <v>0141530317</v>
      </c>
      <c r="K7" t="s">
        <v>38</v>
      </c>
    </row>
    <row r="8" spans="1:11">
      <c r="A8">
        <v>216</v>
      </c>
      <c r="B8" t="s">
        <v>42</v>
      </c>
      <c r="C8" t="s">
        <v>43</v>
      </c>
      <c r="D8" t="str">
        <f>T("14053")</f>
        <v>14053</v>
      </c>
      <c r="E8" t="s">
        <v>44</v>
      </c>
      <c r="F8" t="s">
        <v>41</v>
      </c>
      <c r="G8" t="s">
        <v>15</v>
      </c>
      <c r="H8" t="s">
        <v>16</v>
      </c>
      <c r="I8" t="str">
        <f>T("0141822509")</f>
        <v>0141822509</v>
      </c>
      <c r="J8" t="str">
        <f>T("0141825585")</f>
        <v>0141825585</v>
      </c>
      <c r="K8" t="s">
        <v>45</v>
      </c>
    </row>
    <row r="9" spans="1:11">
      <c r="A9">
        <v>217</v>
      </c>
      <c r="B9" t="s">
        <v>35</v>
      </c>
      <c r="C9" t="s">
        <v>46</v>
      </c>
      <c r="D9" t="str">
        <f>T("14100")</f>
        <v>14100</v>
      </c>
      <c r="E9" t="s">
        <v>40</v>
      </c>
      <c r="F9" t="s">
        <v>41</v>
      </c>
      <c r="G9" t="s">
        <v>15</v>
      </c>
      <c r="H9" t="s">
        <v>16</v>
      </c>
      <c r="I9" t="str">
        <f>T("0141477972")</f>
        <v>0141477972</v>
      </c>
      <c r="J9" t="str">
        <f>T("0141272364")</f>
        <v>0141272364</v>
      </c>
      <c r="K9" t="s">
        <v>38</v>
      </c>
    </row>
    <row r="10" spans="1:11">
      <c r="A10">
        <v>305</v>
      </c>
      <c r="B10" t="s">
        <v>47</v>
      </c>
      <c r="C10" t="s">
        <v>48</v>
      </c>
      <c r="D10" t="str">
        <f>T("11100")</f>
        <v>11100</v>
      </c>
      <c r="E10" t="s">
        <v>49</v>
      </c>
      <c r="F10" t="s">
        <v>50</v>
      </c>
      <c r="G10" t="s">
        <v>51</v>
      </c>
      <c r="H10" t="s">
        <v>16</v>
      </c>
      <c r="I10" t="str">
        <f>T("0165364450")</f>
        <v>0165364450</v>
      </c>
      <c r="J10" t="str">
        <f>T("0165364450")</f>
        <v>0165364450</v>
      </c>
      <c r="K10" t="s">
        <v>52</v>
      </c>
    </row>
    <row r="11" spans="1:11">
      <c r="A11">
        <v>403</v>
      </c>
      <c r="B11" t="s">
        <v>53</v>
      </c>
      <c r="C11" t="s">
        <v>54</v>
      </c>
      <c r="D11" t="str">
        <f>T("28100")</f>
        <v>28100</v>
      </c>
      <c r="E11" t="s">
        <v>55</v>
      </c>
      <c r="F11" t="s">
        <v>56</v>
      </c>
      <c r="G11" t="s">
        <v>15</v>
      </c>
      <c r="H11" t="s">
        <v>16</v>
      </c>
      <c r="I11" t="str">
        <f>T("03211818840")</f>
        <v>03211818840</v>
      </c>
      <c r="J11" t="str">
        <f>T("")</f>
        <v/>
      </c>
      <c r="K11" t="s">
        <v>57</v>
      </c>
    </row>
    <row r="12" spans="1:11">
      <c r="A12">
        <v>431</v>
      </c>
      <c r="B12" t="s">
        <v>58</v>
      </c>
      <c r="C12" t="s">
        <v>59</v>
      </c>
      <c r="D12" t="str">
        <f>T("28883")</f>
        <v>28883</v>
      </c>
      <c r="E12" t="s">
        <v>60</v>
      </c>
      <c r="F12" t="s">
        <v>61</v>
      </c>
      <c r="G12" t="s">
        <v>15</v>
      </c>
      <c r="H12" t="s">
        <v>16</v>
      </c>
      <c r="I12" t="str">
        <f>T("0323865588")</f>
        <v>0323865588</v>
      </c>
      <c r="J12" t="str">
        <f>T("0323865588")</f>
        <v>0323865588</v>
      </c>
      <c r="K12" t="s">
        <v>62</v>
      </c>
    </row>
    <row r="13" spans="1:11">
      <c r="A13">
        <v>504</v>
      </c>
      <c r="B13" t="s">
        <v>64</v>
      </c>
      <c r="C13" t="s">
        <v>65</v>
      </c>
      <c r="D13" t="str">
        <f>T("10044")</f>
        <v>10044</v>
      </c>
      <c r="E13" t="s">
        <v>66</v>
      </c>
      <c r="F13" t="s">
        <v>14</v>
      </c>
      <c r="G13" t="s">
        <v>15</v>
      </c>
      <c r="H13" t="s">
        <v>16</v>
      </c>
      <c r="I13" t="str">
        <f>T("0119679559")</f>
        <v>0119679559</v>
      </c>
      <c r="J13" t="str">
        <f>T("0119780421")</f>
        <v>0119780421</v>
      </c>
      <c r="K13" t="s">
        <v>67</v>
      </c>
    </row>
    <row r="14" spans="1:11">
      <c r="A14">
        <v>505</v>
      </c>
      <c r="B14" t="s">
        <v>68</v>
      </c>
      <c r="C14" t="s">
        <v>69</v>
      </c>
      <c r="D14" t="str">
        <f>T("10082")</f>
        <v>10082</v>
      </c>
      <c r="E14" t="s">
        <v>70</v>
      </c>
      <c r="F14" t="s">
        <v>14</v>
      </c>
      <c r="G14" t="s">
        <v>15</v>
      </c>
      <c r="H14" t="s">
        <v>16</v>
      </c>
      <c r="I14" t="str">
        <f>T("0124666598")</f>
        <v>0124666598</v>
      </c>
      <c r="J14" t="str">
        <f>T("0124651438")</f>
        <v>0124651438</v>
      </c>
      <c r="K14" t="s">
        <v>71</v>
      </c>
    </row>
    <row r="15" spans="1:11">
      <c r="A15">
        <v>515</v>
      </c>
      <c r="B15" t="s">
        <v>72</v>
      </c>
      <c r="C15" t="s">
        <v>73</v>
      </c>
      <c r="D15" t="str">
        <f>T("10034")</f>
        <v>10034</v>
      </c>
      <c r="E15" t="s">
        <v>74</v>
      </c>
      <c r="F15" t="s">
        <v>14</v>
      </c>
      <c r="G15" t="s">
        <v>15</v>
      </c>
      <c r="H15" t="s">
        <v>16</v>
      </c>
      <c r="I15" t="str">
        <f>T("0119101495")</f>
        <v>0119101495</v>
      </c>
      <c r="J15" t="str">
        <f>T("")</f>
        <v/>
      </c>
      <c r="K15" t="s">
        <v>75</v>
      </c>
    </row>
    <row r="16" spans="1:11">
      <c r="A16">
        <v>520</v>
      </c>
      <c r="B16" t="s">
        <v>76</v>
      </c>
      <c r="C16" t="s">
        <v>77</v>
      </c>
      <c r="D16" t="str">
        <f>T("10073")</f>
        <v>10073</v>
      </c>
      <c r="E16" t="s">
        <v>78</v>
      </c>
      <c r="F16" t="s">
        <v>14</v>
      </c>
      <c r="G16" t="s">
        <v>15</v>
      </c>
      <c r="H16" t="s">
        <v>16</v>
      </c>
      <c r="I16" t="str">
        <f>T("0119207357")</f>
        <v>0119207357</v>
      </c>
      <c r="J16" t="str">
        <f>T("0119211845")</f>
        <v>0119211845</v>
      </c>
      <c r="K16" t="s">
        <v>79</v>
      </c>
    </row>
    <row r="17" spans="1:11">
      <c r="A17">
        <v>531</v>
      </c>
      <c r="B17" t="s">
        <v>80</v>
      </c>
      <c r="C17" t="s">
        <v>81</v>
      </c>
      <c r="D17" t="str">
        <f>T("10051")</f>
        <v>10051</v>
      </c>
      <c r="E17" t="s">
        <v>82</v>
      </c>
      <c r="F17" t="s">
        <v>14</v>
      </c>
      <c r="G17" t="s">
        <v>15</v>
      </c>
      <c r="H17" t="s">
        <v>16</v>
      </c>
      <c r="I17" t="str">
        <f>T("0119313388")</f>
        <v>0119313388</v>
      </c>
      <c r="J17" t="str">
        <f>T("0119315241")</f>
        <v>0119315241</v>
      </c>
      <c r="K17" t="s">
        <v>83</v>
      </c>
    </row>
    <row r="18" spans="1:11">
      <c r="A18">
        <v>532</v>
      </c>
      <c r="B18" t="s">
        <v>84</v>
      </c>
      <c r="C18" t="s">
        <v>85</v>
      </c>
      <c r="D18" t="str">
        <f>T("10078")</f>
        <v>10078</v>
      </c>
      <c r="E18" t="s">
        <v>86</v>
      </c>
      <c r="F18" t="s">
        <v>14</v>
      </c>
      <c r="G18" t="s">
        <v>15</v>
      </c>
      <c r="H18" t="s">
        <v>16</v>
      </c>
      <c r="I18" t="str">
        <f>T("0114520960")</f>
        <v>0114520960</v>
      </c>
      <c r="J18" t="str">
        <f>T("0114525447")</f>
        <v>0114525447</v>
      </c>
      <c r="K18" t="s">
        <v>87</v>
      </c>
    </row>
    <row r="19" spans="1:11">
      <c r="A19">
        <v>533</v>
      </c>
      <c r="B19" t="s">
        <v>88</v>
      </c>
      <c r="C19" t="s">
        <v>89</v>
      </c>
      <c r="D19" t="str">
        <f>T("10125")</f>
        <v>10125</v>
      </c>
      <c r="E19" t="s">
        <v>13</v>
      </c>
      <c r="F19" t="s">
        <v>14</v>
      </c>
      <c r="G19" t="s">
        <v>15</v>
      </c>
      <c r="H19" t="s">
        <v>16</v>
      </c>
      <c r="I19" t="str">
        <f>T("0116689938")</f>
        <v>0116689938</v>
      </c>
      <c r="J19" t="str">
        <f>T("0116692517")</f>
        <v>0116692517</v>
      </c>
      <c r="K19" t="s">
        <v>90</v>
      </c>
    </row>
    <row r="20" spans="1:11">
      <c r="A20">
        <v>542</v>
      </c>
      <c r="B20" t="s">
        <v>91</v>
      </c>
      <c r="C20" t="s">
        <v>92</v>
      </c>
      <c r="D20" t="str">
        <f>T("10138")</f>
        <v>10138</v>
      </c>
      <c r="E20" t="s">
        <v>13</v>
      </c>
      <c r="F20" t="s">
        <v>14</v>
      </c>
      <c r="G20" t="s">
        <v>15</v>
      </c>
      <c r="H20" t="s">
        <v>16</v>
      </c>
      <c r="I20" t="str">
        <f>T("0114335256")</f>
        <v>0114335256</v>
      </c>
      <c r="J20" t="str">
        <f>T("0114335256")</f>
        <v>0114335256</v>
      </c>
      <c r="K20" t="s">
        <v>93</v>
      </c>
    </row>
    <row r="21" spans="1:11">
      <c r="A21">
        <v>545</v>
      </c>
      <c r="B21" t="s">
        <v>94</v>
      </c>
      <c r="C21" t="s">
        <v>95</v>
      </c>
      <c r="D21" t="str">
        <f>T("10129")</f>
        <v>10129</v>
      </c>
      <c r="E21" t="s">
        <v>13</v>
      </c>
      <c r="F21" t="s">
        <v>14</v>
      </c>
      <c r="G21" t="s">
        <v>15</v>
      </c>
      <c r="H21" t="s">
        <v>16</v>
      </c>
      <c r="I21" t="str">
        <f>T("0113186979")</f>
        <v>0113186979</v>
      </c>
      <c r="J21" t="str">
        <f>T("0113186978")</f>
        <v>0113186978</v>
      </c>
      <c r="K21" t="s">
        <v>96</v>
      </c>
    </row>
    <row r="22" spans="1:11">
      <c r="A22">
        <v>557</v>
      </c>
      <c r="B22" t="s">
        <v>97</v>
      </c>
      <c r="C22" t="s">
        <v>98</v>
      </c>
      <c r="D22" t="str">
        <f>T("10022")</f>
        <v>10022</v>
      </c>
      <c r="E22" t="s">
        <v>99</v>
      </c>
      <c r="F22" t="s">
        <v>14</v>
      </c>
      <c r="G22" t="s">
        <v>15</v>
      </c>
      <c r="H22" t="s">
        <v>16</v>
      </c>
      <c r="I22" t="str">
        <f>T("0119723717")</f>
        <v>0119723717</v>
      </c>
      <c r="J22" t="str">
        <f>T("0119723717")</f>
        <v>0119723717</v>
      </c>
      <c r="K22" t="s">
        <v>100</v>
      </c>
    </row>
    <row r="23" spans="1:11">
      <c r="A23">
        <v>561</v>
      </c>
      <c r="B23" t="s">
        <v>101</v>
      </c>
      <c r="C23" t="s">
        <v>102</v>
      </c>
      <c r="D23" t="str">
        <f>T("10086")</f>
        <v>10086</v>
      </c>
      <c r="E23" t="s">
        <v>103</v>
      </c>
      <c r="F23" t="s">
        <v>14</v>
      </c>
      <c r="G23" t="s">
        <v>15</v>
      </c>
      <c r="H23" t="s">
        <v>16</v>
      </c>
      <c r="I23" t="str">
        <f>T("012427277")</f>
        <v>012427277</v>
      </c>
      <c r="J23" t="str">
        <f>T("012427277")</f>
        <v>012427277</v>
      </c>
      <c r="K23" t="s">
        <v>104</v>
      </c>
    </row>
    <row r="24" spans="1:11">
      <c r="A24">
        <v>566</v>
      </c>
      <c r="B24" t="s">
        <v>105</v>
      </c>
      <c r="C24" t="s">
        <v>106</v>
      </c>
      <c r="D24" t="str">
        <f>T("10121")</f>
        <v>10121</v>
      </c>
      <c r="E24" t="s">
        <v>13</v>
      </c>
      <c r="F24" t="s">
        <v>14</v>
      </c>
      <c r="G24" t="s">
        <v>15</v>
      </c>
      <c r="H24" t="s">
        <v>16</v>
      </c>
      <c r="I24" t="str">
        <f>T("011545141")</f>
        <v>011545141</v>
      </c>
      <c r="J24" t="str">
        <f>T("011548548")</f>
        <v>011548548</v>
      </c>
      <c r="K24" t="s">
        <v>107</v>
      </c>
    </row>
    <row r="25" spans="1:11">
      <c r="A25">
        <v>569</v>
      </c>
      <c r="B25" t="s">
        <v>108</v>
      </c>
      <c r="C25" t="s">
        <v>109</v>
      </c>
      <c r="D25" t="str">
        <f>T("10064")</f>
        <v>10064</v>
      </c>
      <c r="E25" t="s">
        <v>110</v>
      </c>
      <c r="F25" t="s">
        <v>14</v>
      </c>
      <c r="G25" t="s">
        <v>15</v>
      </c>
      <c r="H25" t="s">
        <v>16</v>
      </c>
      <c r="I25" t="str">
        <f>T("01213258151")</f>
        <v>01213258151</v>
      </c>
      <c r="J25" t="str">
        <f>T("01213258155")</f>
        <v>01213258155</v>
      </c>
      <c r="K25" t="s">
        <v>111</v>
      </c>
    </row>
    <row r="26" spans="1:11">
      <c r="A26">
        <v>570</v>
      </c>
      <c r="B26" t="s">
        <v>112</v>
      </c>
      <c r="C26" t="s">
        <v>113</v>
      </c>
      <c r="D26" t="str">
        <f>T("10138")</f>
        <v>10138</v>
      </c>
      <c r="E26" t="s">
        <v>13</v>
      </c>
      <c r="F26" t="s">
        <v>14</v>
      </c>
      <c r="G26" t="s">
        <v>15</v>
      </c>
      <c r="H26" t="s">
        <v>16</v>
      </c>
      <c r="I26" t="str">
        <f>T("011331394")</f>
        <v>011331394</v>
      </c>
      <c r="J26" t="str">
        <f>T("011331394")</f>
        <v>011331394</v>
      </c>
      <c r="K26" t="s">
        <v>114</v>
      </c>
    </row>
    <row r="27" spans="1:11">
      <c r="A27">
        <v>578</v>
      </c>
      <c r="B27" t="s">
        <v>115</v>
      </c>
      <c r="C27" t="s">
        <v>116</v>
      </c>
      <c r="D27" t="str">
        <f>T("10154")</f>
        <v>10154</v>
      </c>
      <c r="E27" t="s">
        <v>13</v>
      </c>
      <c r="F27" t="s">
        <v>14</v>
      </c>
      <c r="G27" t="s">
        <v>15</v>
      </c>
      <c r="H27" t="s">
        <v>16</v>
      </c>
      <c r="I27" t="str">
        <f>T("011200402")</f>
        <v>011200402</v>
      </c>
      <c r="J27" t="str">
        <f>T("011200402")</f>
        <v>011200402</v>
      </c>
      <c r="K27" t="s">
        <v>117</v>
      </c>
    </row>
    <row r="28" spans="1:11">
      <c r="A28">
        <v>581</v>
      </c>
      <c r="B28" t="s">
        <v>118</v>
      </c>
      <c r="C28" t="s">
        <v>119</v>
      </c>
      <c r="D28" t="str">
        <f>T("10093")</f>
        <v>10093</v>
      </c>
      <c r="E28" t="s">
        <v>120</v>
      </c>
      <c r="F28" t="s">
        <v>14</v>
      </c>
      <c r="G28" t="s">
        <v>15</v>
      </c>
      <c r="H28" t="s">
        <v>16</v>
      </c>
      <c r="I28" t="str">
        <f>T("011781017")</f>
        <v>011781017</v>
      </c>
      <c r="J28" t="str">
        <f>T("0117800334")</f>
        <v>0117800334</v>
      </c>
      <c r="K28" t="s">
        <v>121</v>
      </c>
    </row>
    <row r="29" spans="1:11">
      <c r="A29">
        <v>582</v>
      </c>
      <c r="B29" t="s">
        <v>122</v>
      </c>
      <c r="C29" t="s">
        <v>123</v>
      </c>
      <c r="D29" t="str">
        <f>T("10149")</f>
        <v>10149</v>
      </c>
      <c r="E29" t="s">
        <v>13</v>
      </c>
      <c r="F29" t="s">
        <v>14</v>
      </c>
      <c r="G29" t="s">
        <v>15</v>
      </c>
      <c r="H29" t="s">
        <v>16</v>
      </c>
      <c r="I29" t="str">
        <f>T("0117398223")</f>
        <v>0117398223</v>
      </c>
      <c r="J29" t="str">
        <f>T("0114512399")</f>
        <v>0114512399</v>
      </c>
      <c r="K29" t="s">
        <v>124</v>
      </c>
    </row>
    <row r="30" spans="1:11">
      <c r="A30">
        <v>583</v>
      </c>
      <c r="B30" t="s">
        <v>125</v>
      </c>
      <c r="C30" t="s">
        <v>126</v>
      </c>
      <c r="D30" t="str">
        <f>T("10122")</f>
        <v>10122</v>
      </c>
      <c r="E30" t="s">
        <v>13</v>
      </c>
      <c r="F30" t="s">
        <v>14</v>
      </c>
      <c r="G30" t="s">
        <v>15</v>
      </c>
      <c r="H30" t="s">
        <v>16</v>
      </c>
      <c r="I30" t="str">
        <f>T("011538498")</f>
        <v>011538498</v>
      </c>
      <c r="J30" t="str">
        <f>T("0115619515")</f>
        <v>0115619515</v>
      </c>
      <c r="K30" t="s">
        <v>127</v>
      </c>
    </row>
    <row r="31" spans="1:11">
      <c r="A31">
        <v>586</v>
      </c>
      <c r="B31" t="s">
        <v>128</v>
      </c>
      <c r="C31" t="s">
        <v>129</v>
      </c>
      <c r="D31" t="str">
        <f>T("10040")</f>
        <v>10040</v>
      </c>
      <c r="E31" t="s">
        <v>130</v>
      </c>
      <c r="F31" t="s">
        <v>14</v>
      </c>
      <c r="G31" t="s">
        <v>15</v>
      </c>
      <c r="H31" t="s">
        <v>16</v>
      </c>
      <c r="I31" t="str">
        <f>T("0119982029")</f>
        <v>0119982029</v>
      </c>
      <c r="J31" t="str">
        <f>T("0119974804")</f>
        <v>0119974804</v>
      </c>
      <c r="K31" t="s">
        <v>131</v>
      </c>
    </row>
    <row r="32" spans="1:11">
      <c r="A32">
        <v>589</v>
      </c>
      <c r="B32" t="s">
        <v>132</v>
      </c>
      <c r="C32" t="s">
        <v>133</v>
      </c>
      <c r="D32" t="str">
        <f>T("10036")</f>
        <v>10036</v>
      </c>
      <c r="E32" t="s">
        <v>134</v>
      </c>
      <c r="F32" t="s">
        <v>14</v>
      </c>
      <c r="G32" t="s">
        <v>15</v>
      </c>
      <c r="H32" t="s">
        <v>16</v>
      </c>
      <c r="I32" t="str">
        <f>T("0118952017")</f>
        <v>0118952017</v>
      </c>
      <c r="J32" t="str">
        <f>T("0118957322")</f>
        <v>0118957322</v>
      </c>
      <c r="K32" t="s">
        <v>135</v>
      </c>
    </row>
    <row r="33" spans="1:11">
      <c r="A33">
        <v>590</v>
      </c>
      <c r="B33" t="s">
        <v>128</v>
      </c>
      <c r="C33" t="s">
        <v>136</v>
      </c>
      <c r="D33" t="str">
        <f>T("10015")</f>
        <v>10015</v>
      </c>
      <c r="E33" t="s">
        <v>137</v>
      </c>
      <c r="F33" t="s">
        <v>14</v>
      </c>
      <c r="G33" t="s">
        <v>15</v>
      </c>
      <c r="H33" t="s">
        <v>16</v>
      </c>
      <c r="I33" t="str">
        <f>T("012549795")</f>
        <v>012549795</v>
      </c>
      <c r="J33" t="str">
        <f>T("0125641055")</f>
        <v>0125641055</v>
      </c>
      <c r="K33" t="s">
        <v>138</v>
      </c>
    </row>
    <row r="34" spans="1:11">
      <c r="A34">
        <v>591</v>
      </c>
      <c r="B34" t="s">
        <v>139</v>
      </c>
      <c r="C34" t="s">
        <v>140</v>
      </c>
      <c r="D34" t="str">
        <f>T("10071")</f>
        <v>10071</v>
      </c>
      <c r="E34" t="s">
        <v>141</v>
      </c>
      <c r="F34" t="s">
        <v>14</v>
      </c>
      <c r="G34" t="s">
        <v>15</v>
      </c>
      <c r="H34" t="s">
        <v>16</v>
      </c>
      <c r="I34" t="str">
        <f>T("0114703745")</f>
        <v>0114703745</v>
      </c>
      <c r="J34" t="str">
        <f>T("0114502654")</f>
        <v>0114502654</v>
      </c>
      <c r="K34" t="s">
        <v>142</v>
      </c>
    </row>
    <row r="35" spans="1:11">
      <c r="A35">
        <v>593</v>
      </c>
      <c r="B35" t="s">
        <v>143</v>
      </c>
      <c r="C35" t="s">
        <v>144</v>
      </c>
      <c r="D35" t="str">
        <f>T("10137")</f>
        <v>10137</v>
      </c>
      <c r="E35" t="s">
        <v>13</v>
      </c>
      <c r="F35" t="s">
        <v>14</v>
      </c>
      <c r="G35" t="s">
        <v>15</v>
      </c>
      <c r="H35" t="s">
        <v>16</v>
      </c>
      <c r="I35" t="str">
        <f>T("0113272049")</f>
        <v>0113272049</v>
      </c>
      <c r="J35" t="str">
        <f>T("011363176")</f>
        <v>011363176</v>
      </c>
      <c r="K35" t="s">
        <v>145</v>
      </c>
    </row>
    <row r="36" spans="1:11">
      <c r="A36">
        <v>594</v>
      </c>
      <c r="B36" t="s">
        <v>143</v>
      </c>
      <c r="C36" t="s">
        <v>146</v>
      </c>
      <c r="D36" t="str">
        <f>T("10143")</f>
        <v>10143</v>
      </c>
      <c r="E36" t="s">
        <v>13</v>
      </c>
      <c r="F36" t="s">
        <v>14</v>
      </c>
      <c r="G36" t="s">
        <v>15</v>
      </c>
      <c r="H36" t="s">
        <v>16</v>
      </c>
      <c r="I36" t="str">
        <f>T("011485606")</f>
        <v>011485606</v>
      </c>
      <c r="J36" t="str">
        <f>T("011484394")</f>
        <v>011484394</v>
      </c>
      <c r="K36" t="s">
        <v>147</v>
      </c>
    </row>
    <row r="37" spans="1:11">
      <c r="A37">
        <v>596</v>
      </c>
      <c r="B37" t="s">
        <v>148</v>
      </c>
      <c r="C37" t="s">
        <v>149</v>
      </c>
      <c r="D37" t="str">
        <f>T("10024")</f>
        <v>10024</v>
      </c>
      <c r="E37" t="s">
        <v>150</v>
      </c>
      <c r="F37" t="s">
        <v>14</v>
      </c>
      <c r="G37" t="s">
        <v>15</v>
      </c>
      <c r="H37" t="s">
        <v>16</v>
      </c>
      <c r="I37" t="str">
        <f>T("0116829512")</f>
        <v>0116829512</v>
      </c>
      <c r="J37" t="str">
        <f>T("0116403024")</f>
        <v>0116403024</v>
      </c>
      <c r="K37" t="s">
        <v>151</v>
      </c>
    </row>
    <row r="38" spans="1:11">
      <c r="A38">
        <v>597</v>
      </c>
      <c r="B38" t="s">
        <v>152</v>
      </c>
      <c r="C38" t="s">
        <v>153</v>
      </c>
      <c r="D38" t="str">
        <f>T("10023")</f>
        <v>10023</v>
      </c>
      <c r="E38" t="s">
        <v>154</v>
      </c>
      <c r="F38" t="s">
        <v>14</v>
      </c>
      <c r="G38" t="s">
        <v>15</v>
      </c>
      <c r="H38" t="s">
        <v>16</v>
      </c>
      <c r="I38" t="str">
        <f>T("0119413490")</f>
        <v>0119413490</v>
      </c>
      <c r="J38" t="str">
        <f>T("0119432274")</f>
        <v>0119432274</v>
      </c>
      <c r="K38" t="s">
        <v>155</v>
      </c>
    </row>
    <row r="39" spans="1:11">
      <c r="A39">
        <v>603</v>
      </c>
      <c r="B39" t="s">
        <v>156</v>
      </c>
      <c r="C39" t="s">
        <v>157</v>
      </c>
      <c r="D39" t="str">
        <f>T("13011")</f>
        <v>13011</v>
      </c>
      <c r="E39" t="s">
        <v>158</v>
      </c>
      <c r="F39" t="s">
        <v>159</v>
      </c>
      <c r="G39" t="s">
        <v>15</v>
      </c>
      <c r="H39" t="s">
        <v>16</v>
      </c>
      <c r="I39" t="str">
        <f>T("016322662")</f>
        <v>016322662</v>
      </c>
      <c r="J39" t="str">
        <f>T("016322662")</f>
        <v>016322662</v>
      </c>
      <c r="K39" t="s">
        <v>160</v>
      </c>
    </row>
    <row r="40" spans="1:11">
      <c r="A40">
        <v>605</v>
      </c>
      <c r="B40" t="s">
        <v>161</v>
      </c>
      <c r="C40" t="s">
        <v>162</v>
      </c>
      <c r="D40" t="str">
        <f>T("13836")</f>
        <v>13836</v>
      </c>
      <c r="E40" t="s">
        <v>163</v>
      </c>
      <c r="F40" t="s">
        <v>164</v>
      </c>
      <c r="G40" t="s">
        <v>15</v>
      </c>
      <c r="H40" t="s">
        <v>16</v>
      </c>
      <c r="I40" t="str">
        <f>T("015980695")</f>
        <v>015980695</v>
      </c>
      <c r="J40" t="str">
        <f>T("01593655")</f>
        <v>01593655</v>
      </c>
      <c r="K40" t="s">
        <v>165</v>
      </c>
    </row>
    <row r="41" spans="1:11">
      <c r="A41">
        <v>617</v>
      </c>
      <c r="B41" t="s">
        <v>166</v>
      </c>
      <c r="C41" t="s">
        <v>167</v>
      </c>
      <c r="D41" t="str">
        <f>T("13100")</f>
        <v>13100</v>
      </c>
      <c r="E41" t="s">
        <v>168</v>
      </c>
      <c r="F41" t="s">
        <v>159</v>
      </c>
      <c r="G41" t="s">
        <v>15</v>
      </c>
      <c r="H41" t="s">
        <v>16</v>
      </c>
      <c r="I41" t="str">
        <f>T("0161255606")</f>
        <v>0161255606</v>
      </c>
      <c r="J41" t="str">
        <f>T("0161255606")</f>
        <v>0161255606</v>
      </c>
      <c r="K41" t="s">
        <v>169</v>
      </c>
    </row>
    <row r="42" spans="1:11">
      <c r="A42">
        <v>619</v>
      </c>
      <c r="B42" t="s">
        <v>170</v>
      </c>
      <c r="C42" t="s">
        <v>171</v>
      </c>
      <c r="D42" t="str">
        <f>T("13900")</f>
        <v>13900</v>
      </c>
      <c r="E42" t="s">
        <v>172</v>
      </c>
      <c r="F42" t="s">
        <v>164</v>
      </c>
      <c r="G42" t="s">
        <v>15</v>
      </c>
      <c r="H42" t="s">
        <v>16</v>
      </c>
      <c r="I42" t="str">
        <f>T("0158407353")</f>
        <v>0158407353</v>
      </c>
      <c r="J42" t="str">
        <f>T("0158408875")</f>
        <v>0158408875</v>
      </c>
      <c r="K42" t="s">
        <v>173</v>
      </c>
    </row>
    <row r="43" spans="1:11">
      <c r="A43">
        <v>620</v>
      </c>
      <c r="B43" t="s">
        <v>174</v>
      </c>
      <c r="C43" t="s">
        <v>175</v>
      </c>
      <c r="D43" t="str">
        <f>T("13045")</f>
        <v>13045</v>
      </c>
      <c r="E43" t="s">
        <v>176</v>
      </c>
      <c r="F43" t="s">
        <v>159</v>
      </c>
      <c r="G43" t="s">
        <v>15</v>
      </c>
      <c r="H43" t="s">
        <v>16</v>
      </c>
      <c r="I43" t="str">
        <f>T("0163831783")</f>
        <v>0163831783</v>
      </c>
      <c r="J43" t="str">
        <f>T("0163826095")</f>
        <v>0163826095</v>
      </c>
      <c r="K43" t="s">
        <v>177</v>
      </c>
    </row>
    <row r="44" spans="1:11">
      <c r="A44">
        <v>621</v>
      </c>
      <c r="B44" t="s">
        <v>178</v>
      </c>
      <c r="C44" t="s">
        <v>179</v>
      </c>
      <c r="D44" t="str">
        <f>T("13048")</f>
        <v>13048</v>
      </c>
      <c r="E44" t="s">
        <v>180</v>
      </c>
      <c r="F44" t="s">
        <v>159</v>
      </c>
      <c r="G44" t="s">
        <v>15</v>
      </c>
      <c r="H44" t="s">
        <v>16</v>
      </c>
      <c r="I44" t="str">
        <f>T("0161930360")</f>
        <v>0161930360</v>
      </c>
      <c r="J44" t="str">
        <f>T("")</f>
        <v/>
      </c>
      <c r="K44" t="s">
        <v>181</v>
      </c>
    </row>
    <row r="45" spans="1:11">
      <c r="A45">
        <v>703</v>
      </c>
      <c r="B45" t="s">
        <v>182</v>
      </c>
      <c r="C45" t="s">
        <v>183</v>
      </c>
      <c r="D45" t="str">
        <f>T("12045")</f>
        <v>12045</v>
      </c>
      <c r="E45" t="s">
        <v>184</v>
      </c>
      <c r="F45" t="s">
        <v>185</v>
      </c>
      <c r="G45" t="s">
        <v>15</v>
      </c>
      <c r="H45" t="s">
        <v>16</v>
      </c>
      <c r="I45" t="str">
        <f>T("017260748")</f>
        <v>017260748</v>
      </c>
      <c r="J45" t="str">
        <f>T("0172634123")</f>
        <v>0172634123</v>
      </c>
      <c r="K45" t="s">
        <v>186</v>
      </c>
    </row>
    <row r="46" spans="1:11">
      <c r="A46">
        <v>708</v>
      </c>
      <c r="B46" t="s">
        <v>187</v>
      </c>
      <c r="C46" t="s">
        <v>188</v>
      </c>
      <c r="D46" t="str">
        <f>T("12037")</f>
        <v>12037</v>
      </c>
      <c r="E46" t="s">
        <v>189</v>
      </c>
      <c r="F46" t="s">
        <v>185</v>
      </c>
      <c r="G46" t="s">
        <v>15</v>
      </c>
      <c r="H46" t="s">
        <v>16</v>
      </c>
      <c r="I46" t="str">
        <f>T("017542655")</f>
        <v>017542655</v>
      </c>
      <c r="J46" t="str">
        <f>T("017542655")</f>
        <v>017542655</v>
      </c>
      <c r="K46" t="s">
        <v>190</v>
      </c>
    </row>
    <row r="47" spans="1:11">
      <c r="A47">
        <v>709</v>
      </c>
      <c r="B47" t="s">
        <v>191</v>
      </c>
      <c r="C47" t="s">
        <v>192</v>
      </c>
      <c r="D47" t="str">
        <f>T("12084")</f>
        <v>12084</v>
      </c>
      <c r="E47" t="s">
        <v>193</v>
      </c>
      <c r="F47" t="s">
        <v>185</v>
      </c>
      <c r="G47" t="s">
        <v>15</v>
      </c>
      <c r="H47" t="s">
        <v>16</v>
      </c>
      <c r="I47" t="str">
        <f>T("0174552500")</f>
        <v>0174552500</v>
      </c>
      <c r="J47" t="str">
        <f>T("0174552500")</f>
        <v>0174552500</v>
      </c>
      <c r="K47" t="s">
        <v>194</v>
      </c>
    </row>
    <row r="48" spans="1:11">
      <c r="A48">
        <v>711</v>
      </c>
      <c r="B48" t="s">
        <v>195</v>
      </c>
      <c r="C48" t="s">
        <v>196</v>
      </c>
      <c r="D48" t="str">
        <f>T("12100")</f>
        <v>12100</v>
      </c>
      <c r="E48" t="s">
        <v>197</v>
      </c>
      <c r="F48" t="s">
        <v>185</v>
      </c>
      <c r="G48" t="s">
        <v>15</v>
      </c>
      <c r="H48" t="s">
        <v>16</v>
      </c>
      <c r="I48" t="str">
        <f>T("0171603153")</f>
        <v>0171603153</v>
      </c>
      <c r="J48" t="str">
        <f>T("0171436802")</f>
        <v>0171436802</v>
      </c>
      <c r="K48" t="s">
        <v>198</v>
      </c>
    </row>
    <row r="49" spans="1:11">
      <c r="A49">
        <v>712</v>
      </c>
      <c r="B49" t="s">
        <v>199</v>
      </c>
      <c r="C49" t="s">
        <v>200</v>
      </c>
      <c r="D49" t="str">
        <f>T("12038")</f>
        <v>12038</v>
      </c>
      <c r="E49" t="s">
        <v>201</v>
      </c>
      <c r="F49" t="s">
        <v>185</v>
      </c>
      <c r="G49" t="s">
        <v>15</v>
      </c>
      <c r="H49" t="s">
        <v>16</v>
      </c>
      <c r="I49" t="str">
        <f>T("0172712205")</f>
        <v>0172712205</v>
      </c>
      <c r="J49" t="str">
        <f>T("0172725347")</f>
        <v>0172725347</v>
      </c>
      <c r="K49" t="s">
        <v>202</v>
      </c>
    </row>
    <row r="50" spans="1:11">
      <c r="A50">
        <v>713</v>
      </c>
      <c r="B50" t="s">
        <v>203</v>
      </c>
      <c r="C50" t="s">
        <v>200</v>
      </c>
      <c r="D50" t="str">
        <f>T("12038")</f>
        <v>12038</v>
      </c>
      <c r="E50" t="s">
        <v>201</v>
      </c>
      <c r="F50" t="s">
        <v>185</v>
      </c>
      <c r="G50" t="s">
        <v>15</v>
      </c>
      <c r="H50" t="s">
        <v>204</v>
      </c>
      <c r="I50" t="str">
        <f>T("0172712205")</f>
        <v>0172712205</v>
      </c>
      <c r="J50" t="str">
        <f>T("0172725347")</f>
        <v>0172725347</v>
      </c>
      <c r="K50" t="s">
        <v>205</v>
      </c>
    </row>
    <row r="51" spans="1:11">
      <c r="A51">
        <v>717</v>
      </c>
      <c r="B51" t="s">
        <v>206</v>
      </c>
      <c r="C51" t="s">
        <v>207</v>
      </c>
      <c r="D51" t="str">
        <f>T("12100")</f>
        <v>12100</v>
      </c>
      <c r="E51" t="s">
        <v>197</v>
      </c>
      <c r="F51" t="s">
        <v>185</v>
      </c>
      <c r="G51" t="s">
        <v>15</v>
      </c>
      <c r="H51" t="s">
        <v>16</v>
      </c>
      <c r="I51" t="str">
        <f>T("0171602790")</f>
        <v>0171602790</v>
      </c>
      <c r="J51" t="str">
        <f>T("0171600154")</f>
        <v>0171600154</v>
      </c>
      <c r="K51" t="s">
        <v>208</v>
      </c>
    </row>
    <row r="52" spans="1:11">
      <c r="A52">
        <v>718</v>
      </c>
      <c r="B52" t="s">
        <v>209</v>
      </c>
      <c r="C52" t="s">
        <v>210</v>
      </c>
      <c r="D52" t="str">
        <f>T("12051")</f>
        <v>12051</v>
      </c>
      <c r="E52" t="s">
        <v>211</v>
      </c>
      <c r="F52" t="s">
        <v>185</v>
      </c>
      <c r="G52" t="s">
        <v>15</v>
      </c>
      <c r="H52" t="s">
        <v>16</v>
      </c>
      <c r="I52" t="str">
        <f>T("0173366358")</f>
        <v>0173366358</v>
      </c>
      <c r="J52" t="str">
        <f>T("0173366358")</f>
        <v>0173366358</v>
      </c>
      <c r="K52" t="s">
        <v>212</v>
      </c>
    </row>
    <row r="53" spans="1:11">
      <c r="A53">
        <v>808</v>
      </c>
      <c r="B53" t="s">
        <v>213</v>
      </c>
      <c r="C53" t="s">
        <v>214</v>
      </c>
      <c r="D53" t="str">
        <f>T("24030")</f>
        <v>24030</v>
      </c>
      <c r="E53" t="s">
        <v>215</v>
      </c>
      <c r="F53" t="s">
        <v>216</v>
      </c>
      <c r="G53" t="s">
        <v>217</v>
      </c>
      <c r="H53" t="s">
        <v>16</v>
      </c>
      <c r="I53" t="str">
        <f>T("035548635")</f>
        <v>035548635</v>
      </c>
      <c r="J53" t="str">
        <f>T("035548635")</f>
        <v>035548635</v>
      </c>
      <c r="K53" t="s">
        <v>218</v>
      </c>
    </row>
    <row r="54" spans="1:11">
      <c r="A54">
        <v>809</v>
      </c>
      <c r="B54" t="s">
        <v>219</v>
      </c>
      <c r="C54" t="s">
        <v>220</v>
      </c>
      <c r="D54" t="str">
        <f>T("24021")</f>
        <v>24021</v>
      </c>
      <c r="E54" t="s">
        <v>221</v>
      </c>
      <c r="F54" t="s">
        <v>216</v>
      </c>
      <c r="G54" t="s">
        <v>217</v>
      </c>
      <c r="H54" t="s">
        <v>16</v>
      </c>
      <c r="I54" t="str">
        <f>T("035753145")</f>
        <v>035753145</v>
      </c>
      <c r="J54" t="str">
        <f>T("035753145")</f>
        <v>035753145</v>
      </c>
      <c r="K54" t="s">
        <v>222</v>
      </c>
    </row>
    <row r="55" spans="1:11">
      <c r="A55">
        <v>811</v>
      </c>
      <c r="B55" t="s">
        <v>223</v>
      </c>
      <c r="C55" t="s">
        <v>224</v>
      </c>
      <c r="D55" t="str">
        <f>T("24060")</f>
        <v>24060</v>
      </c>
      <c r="E55" t="s">
        <v>225</v>
      </c>
      <c r="F55" t="s">
        <v>216</v>
      </c>
      <c r="G55" t="s">
        <v>217</v>
      </c>
      <c r="H55" t="s">
        <v>16</v>
      </c>
      <c r="I55" t="str">
        <f>T("035926338")</f>
        <v>035926338</v>
      </c>
      <c r="J55" t="str">
        <f>T("035926338")</f>
        <v>035926338</v>
      </c>
      <c r="K55" t="s">
        <v>226</v>
      </c>
    </row>
    <row r="56" spans="1:11">
      <c r="A56">
        <v>812</v>
      </c>
      <c r="B56" t="s">
        <v>227</v>
      </c>
      <c r="C56" t="s">
        <v>228</v>
      </c>
      <c r="D56" t="str">
        <f>T("24060")</f>
        <v>24060</v>
      </c>
      <c r="E56" t="s">
        <v>229</v>
      </c>
      <c r="F56" t="s">
        <v>216</v>
      </c>
      <c r="G56" t="s">
        <v>217</v>
      </c>
      <c r="H56" t="s">
        <v>16</v>
      </c>
      <c r="I56" t="str">
        <f>T("0354258433")</f>
        <v>0354258433</v>
      </c>
      <c r="J56" t="str">
        <f>T("0354271519")</f>
        <v>0354271519</v>
      </c>
      <c r="K56" t="s">
        <v>230</v>
      </c>
    </row>
    <row r="57" spans="1:11">
      <c r="A57">
        <v>813</v>
      </c>
      <c r="B57" t="s">
        <v>231</v>
      </c>
      <c r="C57" t="s">
        <v>232</v>
      </c>
      <c r="D57" t="str">
        <f>T("24062")</f>
        <v>24062</v>
      </c>
      <c r="E57" t="s">
        <v>233</v>
      </c>
      <c r="F57" t="s">
        <v>216</v>
      </c>
      <c r="G57" t="s">
        <v>217</v>
      </c>
      <c r="H57" t="s">
        <v>16</v>
      </c>
      <c r="I57" t="str">
        <f>T("035973084")</f>
        <v>035973084</v>
      </c>
      <c r="J57" t="str">
        <f>T("035973731")</f>
        <v>035973731</v>
      </c>
      <c r="K57" t="s">
        <v>234</v>
      </c>
    </row>
    <row r="58" spans="1:11">
      <c r="A58">
        <v>816</v>
      </c>
      <c r="B58" t="s">
        <v>235</v>
      </c>
      <c r="C58" t="s">
        <v>236</v>
      </c>
      <c r="D58" t="str">
        <f>T("24023")</f>
        <v>24023</v>
      </c>
      <c r="E58" t="s">
        <v>237</v>
      </c>
      <c r="F58" t="s">
        <v>216</v>
      </c>
      <c r="G58" t="s">
        <v>217</v>
      </c>
      <c r="H58" t="s">
        <v>16</v>
      </c>
      <c r="I58" t="str">
        <f>T("034623344")</f>
        <v>034623344</v>
      </c>
      <c r="J58" t="str">
        <f>T("034624588")</f>
        <v>034624588</v>
      </c>
      <c r="K58" t="s">
        <v>238</v>
      </c>
    </row>
    <row r="59" spans="1:11">
      <c r="A59">
        <v>817</v>
      </c>
      <c r="B59" t="s">
        <v>239</v>
      </c>
      <c r="C59" t="s">
        <v>240</v>
      </c>
      <c r="D59" t="str">
        <f>T("24058")</f>
        <v>24058</v>
      </c>
      <c r="E59" t="s">
        <v>241</v>
      </c>
      <c r="F59" t="s">
        <v>216</v>
      </c>
      <c r="G59" t="s">
        <v>217</v>
      </c>
      <c r="H59" t="s">
        <v>16</v>
      </c>
      <c r="I59" t="str">
        <f>T("0363902190")</f>
        <v>0363902190</v>
      </c>
      <c r="J59" t="str">
        <f>T("0363918007")</f>
        <v>0363918007</v>
      </c>
      <c r="K59" t="s">
        <v>242</v>
      </c>
    </row>
    <row r="60" spans="1:11">
      <c r="A60">
        <v>818</v>
      </c>
      <c r="B60" t="s">
        <v>243</v>
      </c>
      <c r="C60" t="s">
        <v>244</v>
      </c>
      <c r="D60" t="str">
        <f>T("24059")</f>
        <v>24059</v>
      </c>
      <c r="E60" t="s">
        <v>245</v>
      </c>
      <c r="F60" t="s">
        <v>216</v>
      </c>
      <c r="G60" t="s">
        <v>217</v>
      </c>
      <c r="H60" t="s">
        <v>16</v>
      </c>
      <c r="I60" t="str">
        <f>T("035890779")</f>
        <v>035890779</v>
      </c>
      <c r="J60" t="str">
        <f>T("035899553")</f>
        <v>035899553</v>
      </c>
      <c r="K60" t="s">
        <v>246</v>
      </c>
    </row>
    <row r="61" spans="1:11">
      <c r="A61">
        <v>820</v>
      </c>
      <c r="B61" t="s">
        <v>247</v>
      </c>
      <c r="C61" t="s">
        <v>248</v>
      </c>
      <c r="D61" t="str">
        <f>T("24124")</f>
        <v>24124</v>
      </c>
      <c r="E61" t="s">
        <v>249</v>
      </c>
      <c r="F61" t="s">
        <v>216</v>
      </c>
      <c r="G61" t="s">
        <v>217</v>
      </c>
      <c r="H61" t="s">
        <v>16</v>
      </c>
      <c r="I61" t="str">
        <f>T("035218117")</f>
        <v>035218117</v>
      </c>
      <c r="J61" t="str">
        <f>T("035271331")</f>
        <v>035271331</v>
      </c>
      <c r="K61" t="s">
        <v>250</v>
      </c>
    </row>
    <row r="62" spans="1:11">
      <c r="A62">
        <v>821</v>
      </c>
      <c r="B62" t="s">
        <v>247</v>
      </c>
      <c r="C62" t="s">
        <v>251</v>
      </c>
      <c r="D62" t="str">
        <f>T("24128")</f>
        <v>24128</v>
      </c>
      <c r="E62" t="s">
        <v>249</v>
      </c>
      <c r="F62" t="s">
        <v>216</v>
      </c>
      <c r="G62" t="s">
        <v>217</v>
      </c>
      <c r="H62" t="s">
        <v>16</v>
      </c>
      <c r="I62" t="str">
        <f>T("035258404")</f>
        <v>035258404</v>
      </c>
      <c r="J62" t="str">
        <f>T("035253156")</f>
        <v>035253156</v>
      </c>
      <c r="K62" t="s">
        <v>252</v>
      </c>
    </row>
    <row r="63" spans="1:11">
      <c r="A63">
        <v>822</v>
      </c>
      <c r="B63" t="s">
        <v>253</v>
      </c>
      <c r="C63" t="s">
        <v>254</v>
      </c>
      <c r="D63" t="str">
        <f>T("24121")</f>
        <v>24121</v>
      </c>
      <c r="E63" t="s">
        <v>249</v>
      </c>
      <c r="F63" t="s">
        <v>216</v>
      </c>
      <c r="G63" t="s">
        <v>217</v>
      </c>
      <c r="H63" t="s">
        <v>16</v>
      </c>
      <c r="I63" t="str">
        <f>T("035248716")</f>
        <v>035248716</v>
      </c>
      <c r="J63" t="str">
        <f>T("035248716")</f>
        <v>035248716</v>
      </c>
      <c r="K63" t="s">
        <v>255</v>
      </c>
    </row>
    <row r="64" spans="1:11">
      <c r="A64">
        <v>912</v>
      </c>
      <c r="B64" t="s">
        <v>256</v>
      </c>
      <c r="C64" t="s">
        <v>257</v>
      </c>
      <c r="D64" t="str">
        <f>T("23037")</f>
        <v>23037</v>
      </c>
      <c r="E64" t="s">
        <v>258</v>
      </c>
      <c r="F64" t="s">
        <v>259</v>
      </c>
      <c r="G64" t="s">
        <v>217</v>
      </c>
      <c r="H64" t="s">
        <v>16</v>
      </c>
      <c r="I64" t="str">
        <f>T("0342702414")</f>
        <v>0342702414</v>
      </c>
      <c r="J64" t="str">
        <f>T("0342702414")</f>
        <v>0342702414</v>
      </c>
      <c r="K64" t="s">
        <v>260</v>
      </c>
    </row>
    <row r="65" spans="1:11">
      <c r="A65">
        <v>913</v>
      </c>
      <c r="B65" t="s">
        <v>261</v>
      </c>
      <c r="C65" t="s">
        <v>262</v>
      </c>
      <c r="D65" t="str">
        <f>T("23013")</f>
        <v>23013</v>
      </c>
      <c r="E65" t="s">
        <v>263</v>
      </c>
      <c r="F65" t="s">
        <v>259</v>
      </c>
      <c r="G65" t="s">
        <v>217</v>
      </c>
      <c r="H65" t="s">
        <v>16</v>
      </c>
      <c r="I65" t="str">
        <f>T("0342634311")</f>
        <v>0342634311</v>
      </c>
      <c r="J65" t="str">
        <f>T("0342634350")</f>
        <v>0342634350</v>
      </c>
      <c r="K65" t="s">
        <v>264</v>
      </c>
    </row>
    <row r="66" spans="1:11">
      <c r="A66">
        <v>915</v>
      </c>
      <c r="B66" t="s">
        <v>265</v>
      </c>
      <c r="C66" t="s">
        <v>266</v>
      </c>
      <c r="D66" t="str">
        <f>T("23100")</f>
        <v>23100</v>
      </c>
      <c r="E66" t="s">
        <v>267</v>
      </c>
      <c r="F66" t="s">
        <v>259</v>
      </c>
      <c r="G66" t="s">
        <v>217</v>
      </c>
      <c r="H66" t="s">
        <v>16</v>
      </c>
      <c r="I66" t="str">
        <f>T("0342218503")</f>
        <v>0342218503</v>
      </c>
      <c r="J66" t="str">
        <f>T("0342218503")</f>
        <v>0342218503</v>
      </c>
      <c r="K66" t="s">
        <v>268</v>
      </c>
    </row>
    <row r="67" spans="1:11">
      <c r="A67">
        <v>1011</v>
      </c>
      <c r="B67" t="s">
        <v>269</v>
      </c>
      <c r="C67" t="s">
        <v>270</v>
      </c>
      <c r="D67" t="str">
        <f>T("22100")</f>
        <v>22100</v>
      </c>
      <c r="E67" t="s">
        <v>271</v>
      </c>
      <c r="F67" t="s">
        <v>272</v>
      </c>
      <c r="G67" t="s">
        <v>217</v>
      </c>
      <c r="H67" t="s">
        <v>16</v>
      </c>
      <c r="I67" t="str">
        <f>T("031260336")</f>
        <v>031260336</v>
      </c>
      <c r="J67" t="str">
        <f>T("031272218")</f>
        <v>031272218</v>
      </c>
      <c r="K67" t="s">
        <v>273</v>
      </c>
    </row>
    <row r="68" spans="1:11">
      <c r="A68">
        <v>1012</v>
      </c>
      <c r="B68" t="s">
        <v>274</v>
      </c>
      <c r="C68" t="s">
        <v>275</v>
      </c>
      <c r="D68" t="str">
        <f>T("22036")</f>
        <v>22036</v>
      </c>
      <c r="E68" t="s">
        <v>276</v>
      </c>
      <c r="F68" t="s">
        <v>272</v>
      </c>
      <c r="G68" t="s">
        <v>217</v>
      </c>
      <c r="H68" t="s">
        <v>16</v>
      </c>
      <c r="I68" t="str">
        <f>T("031642537")</f>
        <v>031642537</v>
      </c>
      <c r="J68" t="str">
        <f>T("0313335348")</f>
        <v>0313335348</v>
      </c>
      <c r="K68" t="s">
        <v>277</v>
      </c>
    </row>
    <row r="69" spans="1:11">
      <c r="A69">
        <v>1013</v>
      </c>
      <c r="B69" t="s">
        <v>278</v>
      </c>
      <c r="C69" t="s">
        <v>279</v>
      </c>
      <c r="D69" t="str">
        <f>T("22063")</f>
        <v>22063</v>
      </c>
      <c r="E69" t="s">
        <v>280</v>
      </c>
      <c r="F69" t="s">
        <v>272</v>
      </c>
      <c r="G69" t="s">
        <v>217</v>
      </c>
      <c r="H69" t="s">
        <v>16</v>
      </c>
      <c r="I69" t="str">
        <f>T("031712121")</f>
        <v>031712121</v>
      </c>
      <c r="J69" t="str">
        <f>T("031713151")</f>
        <v>031713151</v>
      </c>
      <c r="K69" t="s">
        <v>281</v>
      </c>
    </row>
    <row r="70" spans="1:11">
      <c r="A70">
        <v>1023</v>
      </c>
      <c r="B70" t="s">
        <v>282</v>
      </c>
      <c r="C70" t="s">
        <v>283</v>
      </c>
      <c r="D70" t="str">
        <f>T("23807")</f>
        <v>23807</v>
      </c>
      <c r="E70" t="s">
        <v>284</v>
      </c>
      <c r="F70" t="s">
        <v>285</v>
      </c>
      <c r="G70" t="s">
        <v>217</v>
      </c>
      <c r="H70" t="s">
        <v>16</v>
      </c>
      <c r="I70" t="str">
        <f>T("039599338")</f>
        <v>039599338</v>
      </c>
      <c r="J70" t="str">
        <f>T("039599338")</f>
        <v>039599338</v>
      </c>
      <c r="K70" t="s">
        <v>286</v>
      </c>
    </row>
    <row r="71" spans="1:11">
      <c r="A71">
        <v>1027</v>
      </c>
      <c r="B71" t="s">
        <v>287</v>
      </c>
      <c r="C71" t="s">
        <v>288</v>
      </c>
      <c r="D71" t="str">
        <f>T("22066")</f>
        <v>22066</v>
      </c>
      <c r="E71" t="s">
        <v>289</v>
      </c>
      <c r="F71" t="s">
        <v>272</v>
      </c>
      <c r="G71" t="s">
        <v>217</v>
      </c>
      <c r="H71" t="s">
        <v>16</v>
      </c>
      <c r="I71" t="str">
        <f>T("031746124")</f>
        <v>031746124</v>
      </c>
      <c r="J71" t="str">
        <f>T("031750412")</f>
        <v>031750412</v>
      </c>
      <c r="K71" t="s">
        <v>290</v>
      </c>
    </row>
    <row r="72" spans="1:11">
      <c r="A72">
        <v>1033</v>
      </c>
      <c r="B72" t="s">
        <v>291</v>
      </c>
      <c r="C72" t="s">
        <v>292</v>
      </c>
      <c r="D72" t="str">
        <f>T("23848")</f>
        <v>23848</v>
      </c>
      <c r="E72" t="s">
        <v>293</v>
      </c>
      <c r="F72" t="s">
        <v>285</v>
      </c>
      <c r="G72" t="s">
        <v>217</v>
      </c>
      <c r="H72" t="s">
        <v>16</v>
      </c>
      <c r="I72" t="str">
        <f>T("0341576233")</f>
        <v>0341576233</v>
      </c>
      <c r="J72" t="str">
        <f>T("0341261558")</f>
        <v>0341261558</v>
      </c>
      <c r="K72" t="s">
        <v>294</v>
      </c>
    </row>
    <row r="73" spans="1:11">
      <c r="A73">
        <v>1034</v>
      </c>
      <c r="B73" t="s">
        <v>295</v>
      </c>
      <c r="C73" t="s">
        <v>296</v>
      </c>
      <c r="D73" t="str">
        <f>T("23826")</f>
        <v>23826</v>
      </c>
      <c r="E73" t="s">
        <v>297</v>
      </c>
      <c r="F73" t="s">
        <v>285</v>
      </c>
      <c r="G73" t="s">
        <v>217</v>
      </c>
      <c r="H73" t="s">
        <v>16</v>
      </c>
      <c r="I73" t="str">
        <f>T("0341733674")</f>
        <v>0341733674</v>
      </c>
      <c r="J73" t="str">
        <f>T("0341733674")</f>
        <v>0341733674</v>
      </c>
      <c r="K73" t="s">
        <v>298</v>
      </c>
    </row>
    <row r="74" spans="1:11">
      <c r="A74">
        <v>1036</v>
      </c>
      <c r="B74" t="s">
        <v>299</v>
      </c>
      <c r="C74" t="s">
        <v>300</v>
      </c>
      <c r="D74" t="str">
        <f>T("22078")</f>
        <v>22078</v>
      </c>
      <c r="E74" t="s">
        <v>301</v>
      </c>
      <c r="F74" t="s">
        <v>272</v>
      </c>
      <c r="G74" t="s">
        <v>217</v>
      </c>
      <c r="H74" t="s">
        <v>16</v>
      </c>
      <c r="I74" t="str">
        <f>T("0296488443")</f>
        <v>0296488443</v>
      </c>
      <c r="J74" t="str">
        <f>T("0296488443")</f>
        <v>0296488443</v>
      </c>
      <c r="K74" t="s">
        <v>302</v>
      </c>
    </row>
    <row r="75" spans="1:11">
      <c r="A75">
        <v>1037</v>
      </c>
      <c r="B75" t="s">
        <v>303</v>
      </c>
      <c r="C75" t="s">
        <v>304</v>
      </c>
      <c r="D75" t="str">
        <f>T("23900")</f>
        <v>23900</v>
      </c>
      <c r="E75" t="s">
        <v>305</v>
      </c>
      <c r="F75" t="s">
        <v>285</v>
      </c>
      <c r="G75" t="s">
        <v>217</v>
      </c>
      <c r="H75" t="s">
        <v>16</v>
      </c>
      <c r="I75" t="str">
        <f>T("0341282117")</f>
        <v>0341282117</v>
      </c>
      <c r="J75" t="str">
        <f>T("0341283739")</f>
        <v>0341283739</v>
      </c>
      <c r="K75" t="s">
        <v>306</v>
      </c>
    </row>
    <row r="76" spans="1:11">
      <c r="A76">
        <v>1102</v>
      </c>
      <c r="B76" t="s">
        <v>307</v>
      </c>
      <c r="C76" t="s">
        <v>308</v>
      </c>
      <c r="D76" t="str">
        <f>T("26012")</f>
        <v>26012</v>
      </c>
      <c r="E76" t="s">
        <v>309</v>
      </c>
      <c r="F76" t="s">
        <v>310</v>
      </c>
      <c r="G76" t="s">
        <v>217</v>
      </c>
      <c r="H76" t="s">
        <v>16</v>
      </c>
      <c r="I76" t="str">
        <f>T("0374350940")</f>
        <v>0374350940</v>
      </c>
      <c r="J76" t="str">
        <f>T("0374350939")</f>
        <v>0374350939</v>
      </c>
      <c r="K76" t="s">
        <v>311</v>
      </c>
    </row>
    <row r="77" spans="1:11">
      <c r="A77">
        <v>1103</v>
      </c>
      <c r="B77" t="s">
        <v>312</v>
      </c>
      <c r="C77" t="s">
        <v>313</v>
      </c>
      <c r="D77" t="str">
        <f>T("26100")</f>
        <v>26100</v>
      </c>
      <c r="E77" t="s">
        <v>314</v>
      </c>
      <c r="F77" t="s">
        <v>310</v>
      </c>
      <c r="G77" t="s">
        <v>217</v>
      </c>
      <c r="H77" t="s">
        <v>16</v>
      </c>
      <c r="I77" t="str">
        <f>T("0372452278")</f>
        <v>0372452278</v>
      </c>
      <c r="J77" t="str">
        <f>T("0372449126")</f>
        <v>0372449126</v>
      </c>
      <c r="K77" t="s">
        <v>315</v>
      </c>
    </row>
    <row r="78" spans="1:11">
      <c r="A78">
        <v>1112</v>
      </c>
      <c r="B78" t="s">
        <v>316</v>
      </c>
      <c r="C78" t="s">
        <v>317</v>
      </c>
      <c r="D78" t="str">
        <f>T("26013")</f>
        <v>26013</v>
      </c>
      <c r="E78" t="s">
        <v>318</v>
      </c>
      <c r="F78" t="s">
        <v>310</v>
      </c>
      <c r="G78" t="s">
        <v>217</v>
      </c>
      <c r="H78" t="s">
        <v>16</v>
      </c>
      <c r="I78" t="str">
        <f>T("0373257268")</f>
        <v>0373257268</v>
      </c>
      <c r="J78" t="str">
        <f>T("037384701")</f>
        <v>037384701</v>
      </c>
      <c r="K78" t="s">
        <v>319</v>
      </c>
    </row>
    <row r="79" spans="1:11">
      <c r="A79">
        <v>1119</v>
      </c>
      <c r="B79" t="s">
        <v>320</v>
      </c>
      <c r="C79" t="s">
        <v>321</v>
      </c>
      <c r="D79" t="str">
        <f>T("26100")</f>
        <v>26100</v>
      </c>
      <c r="E79" t="s">
        <v>314</v>
      </c>
      <c r="F79" t="s">
        <v>310</v>
      </c>
      <c r="G79" t="s">
        <v>217</v>
      </c>
      <c r="H79" t="s">
        <v>16</v>
      </c>
      <c r="I79" t="str">
        <f>T("037226748")</f>
        <v>037226748</v>
      </c>
      <c r="J79" t="str">
        <f>T("037226734")</f>
        <v>037226734</v>
      </c>
      <c r="K79" t="s">
        <v>322</v>
      </c>
    </row>
    <row r="80" spans="1:11">
      <c r="A80">
        <v>1120</v>
      </c>
      <c r="B80" t="s">
        <v>323</v>
      </c>
      <c r="C80" t="s">
        <v>324</v>
      </c>
      <c r="D80" t="str">
        <f>T("26041")</f>
        <v>26041</v>
      </c>
      <c r="E80" t="s">
        <v>325</v>
      </c>
      <c r="F80" t="s">
        <v>310</v>
      </c>
      <c r="G80" t="s">
        <v>217</v>
      </c>
      <c r="H80" t="s">
        <v>16</v>
      </c>
      <c r="I80" t="str">
        <f>T("037542340")</f>
        <v>037542340</v>
      </c>
      <c r="J80" t="str">
        <f>T("0375442007")</f>
        <v>0375442007</v>
      </c>
      <c r="K80" t="s">
        <v>326</v>
      </c>
    </row>
    <row r="81" spans="1:11">
      <c r="A81">
        <v>1122</v>
      </c>
      <c r="B81" t="s">
        <v>327</v>
      </c>
      <c r="C81" t="s">
        <v>328</v>
      </c>
      <c r="D81" t="str">
        <f>T("26100")</f>
        <v>26100</v>
      </c>
      <c r="E81" t="s">
        <v>314</v>
      </c>
      <c r="F81" t="s">
        <v>310</v>
      </c>
      <c r="G81" t="s">
        <v>217</v>
      </c>
      <c r="H81" t="s">
        <v>16</v>
      </c>
      <c r="I81" t="str">
        <f>T("0372413931")</f>
        <v>0372413931</v>
      </c>
      <c r="J81" t="str">
        <f>T("0372800614")</f>
        <v>0372800614</v>
      </c>
      <c r="K81" t="s">
        <v>329</v>
      </c>
    </row>
    <row r="82" spans="1:11">
      <c r="A82">
        <v>1202</v>
      </c>
      <c r="B82" t="s">
        <v>330</v>
      </c>
      <c r="C82" t="s">
        <v>331</v>
      </c>
      <c r="D82" t="str">
        <f>T("46042")</f>
        <v>46042</v>
      </c>
      <c r="E82" t="s">
        <v>332</v>
      </c>
      <c r="F82" t="s">
        <v>333</v>
      </c>
      <c r="G82" t="s">
        <v>217</v>
      </c>
      <c r="H82" t="s">
        <v>16</v>
      </c>
      <c r="I82" t="str">
        <f>T("0376781319")</f>
        <v>0376781319</v>
      </c>
      <c r="J82" t="str">
        <f>T("0376781319")</f>
        <v>0376781319</v>
      </c>
      <c r="K82" t="s">
        <v>334</v>
      </c>
    </row>
    <row r="83" spans="1:11">
      <c r="A83">
        <v>1205</v>
      </c>
      <c r="B83" t="s">
        <v>335</v>
      </c>
      <c r="C83" t="s">
        <v>336</v>
      </c>
      <c r="D83" t="str">
        <f>T("46043")</f>
        <v>46043</v>
      </c>
      <c r="E83" t="s">
        <v>337</v>
      </c>
      <c r="F83" t="s">
        <v>333</v>
      </c>
      <c r="G83" t="s">
        <v>217</v>
      </c>
      <c r="H83" t="s">
        <v>16</v>
      </c>
      <c r="I83" t="str">
        <f>T("0376632720")</f>
        <v>0376632720</v>
      </c>
      <c r="J83" t="str">
        <f>T("0376948814")</f>
        <v>0376948814</v>
      </c>
      <c r="K83" t="s">
        <v>338</v>
      </c>
    </row>
    <row r="84" spans="1:11">
      <c r="A84">
        <v>1207</v>
      </c>
      <c r="B84" t="s">
        <v>339</v>
      </c>
      <c r="C84" t="s">
        <v>340</v>
      </c>
      <c r="D84" t="str">
        <f>T("46100")</f>
        <v>46100</v>
      </c>
      <c r="E84" t="s">
        <v>341</v>
      </c>
      <c r="F84" t="s">
        <v>333</v>
      </c>
      <c r="G84" t="s">
        <v>217</v>
      </c>
      <c r="H84" t="s">
        <v>16</v>
      </c>
      <c r="I84" t="str">
        <f>T("0376323766")</f>
        <v>0376323766</v>
      </c>
      <c r="J84" t="str">
        <f>T("0376323766")</f>
        <v>0376323766</v>
      </c>
      <c r="K84" t="s">
        <v>342</v>
      </c>
    </row>
    <row r="85" spans="1:11">
      <c r="A85">
        <v>1218</v>
      </c>
      <c r="B85" t="s">
        <v>343</v>
      </c>
      <c r="C85" t="s">
        <v>344</v>
      </c>
      <c r="D85" t="str">
        <f>T("46035")</f>
        <v>46035</v>
      </c>
      <c r="E85" t="s">
        <v>345</v>
      </c>
      <c r="F85" t="s">
        <v>333</v>
      </c>
      <c r="G85" t="s">
        <v>217</v>
      </c>
      <c r="H85" t="s">
        <v>16</v>
      </c>
      <c r="I85" t="str">
        <f>T("0386803022")</f>
        <v>0386803022</v>
      </c>
      <c r="J85" t="str">
        <f>T("0386800193")</f>
        <v>0386800193</v>
      </c>
      <c r="K85" t="s">
        <v>346</v>
      </c>
    </row>
    <row r="86" spans="1:11">
      <c r="A86">
        <v>1221</v>
      </c>
      <c r="B86" t="s">
        <v>347</v>
      </c>
      <c r="C86" t="s">
        <v>348</v>
      </c>
      <c r="D86" t="str">
        <f>T("46100")</f>
        <v>46100</v>
      </c>
      <c r="E86" t="s">
        <v>341</v>
      </c>
      <c r="F86" t="s">
        <v>333</v>
      </c>
      <c r="G86" t="s">
        <v>217</v>
      </c>
      <c r="H86" t="s">
        <v>16</v>
      </c>
      <c r="I86" t="str">
        <f>T("0376320617")</f>
        <v>0376320617</v>
      </c>
      <c r="J86" t="str">
        <f>T("0376222436")</f>
        <v>0376222436</v>
      </c>
      <c r="K86" t="s">
        <v>349</v>
      </c>
    </row>
    <row r="87" spans="1:11">
      <c r="A87">
        <v>1223</v>
      </c>
      <c r="B87" t="s">
        <v>223</v>
      </c>
      <c r="C87" t="s">
        <v>350</v>
      </c>
      <c r="D87" t="str">
        <f>T("46044")</f>
        <v>46044</v>
      </c>
      <c r="E87" t="s">
        <v>351</v>
      </c>
      <c r="F87" t="s">
        <v>333</v>
      </c>
      <c r="G87" t="s">
        <v>217</v>
      </c>
      <c r="H87" t="s">
        <v>16</v>
      </c>
      <c r="I87" t="str">
        <f>T("0376604777")</f>
        <v>0376604777</v>
      </c>
      <c r="J87" t="str">
        <f>T("0376689222")</f>
        <v>0376689222</v>
      </c>
      <c r="K87" t="s">
        <v>352</v>
      </c>
    </row>
    <row r="88" spans="1:11">
      <c r="A88">
        <v>1307</v>
      </c>
      <c r="B88" t="s">
        <v>353</v>
      </c>
      <c r="C88" t="s">
        <v>354</v>
      </c>
      <c r="D88" t="str">
        <f>T("20832")</f>
        <v>20832</v>
      </c>
      <c r="E88" t="s">
        <v>355</v>
      </c>
      <c r="F88" t="s">
        <v>356</v>
      </c>
      <c r="G88" t="s">
        <v>217</v>
      </c>
      <c r="H88" t="s">
        <v>16</v>
      </c>
      <c r="I88" t="str">
        <f>T("0362623634")</f>
        <v>0362623634</v>
      </c>
      <c r="J88" t="str">
        <f>T("0362623634")</f>
        <v>0362623634</v>
      </c>
      <c r="K88" t="s">
        <v>357</v>
      </c>
    </row>
    <row r="89" spans="1:11">
      <c r="A89">
        <v>1328</v>
      </c>
      <c r="B89" t="s">
        <v>358</v>
      </c>
      <c r="C89" t="s">
        <v>359</v>
      </c>
      <c r="D89" t="str">
        <f>T("20025")</f>
        <v>20025</v>
      </c>
      <c r="E89" t="s">
        <v>360</v>
      </c>
      <c r="F89" t="s">
        <v>361</v>
      </c>
      <c r="G89" t="s">
        <v>217</v>
      </c>
      <c r="H89" t="s">
        <v>16</v>
      </c>
      <c r="I89" t="str">
        <f>T("0331540303")</f>
        <v>0331540303</v>
      </c>
      <c r="J89" t="str">
        <f>T("0331593695")</f>
        <v>0331593695</v>
      </c>
      <c r="K89" t="s">
        <v>362</v>
      </c>
    </row>
    <row r="90" spans="1:11">
      <c r="A90">
        <v>1332</v>
      </c>
      <c r="B90" t="s">
        <v>363</v>
      </c>
      <c r="C90" t="s">
        <v>364</v>
      </c>
      <c r="D90" t="str">
        <f>T("20064")</f>
        <v>20064</v>
      </c>
      <c r="E90" t="s">
        <v>365</v>
      </c>
      <c r="F90" t="s">
        <v>361</v>
      </c>
      <c r="G90" t="s">
        <v>217</v>
      </c>
      <c r="H90" t="s">
        <v>16</v>
      </c>
      <c r="I90" t="str">
        <f>T("029515133")</f>
        <v>029515133</v>
      </c>
      <c r="J90" t="str">
        <f>T("029513288")</f>
        <v>029513288</v>
      </c>
      <c r="K90" t="s">
        <v>366</v>
      </c>
    </row>
    <row r="91" spans="1:11">
      <c r="A91">
        <v>1334</v>
      </c>
      <c r="B91" t="s">
        <v>367</v>
      </c>
      <c r="C91" t="s">
        <v>368</v>
      </c>
      <c r="D91" t="str">
        <f>T("20015")</f>
        <v>20015</v>
      </c>
      <c r="E91" t="s">
        <v>369</v>
      </c>
      <c r="F91" t="s">
        <v>361</v>
      </c>
      <c r="G91" t="s">
        <v>217</v>
      </c>
      <c r="H91" t="s">
        <v>16</v>
      </c>
      <c r="I91" t="str">
        <f>T("0331551192")</f>
        <v>0331551192</v>
      </c>
      <c r="J91" t="str">
        <f>T("")</f>
        <v/>
      </c>
      <c r="K91" t="s">
        <v>370</v>
      </c>
    </row>
    <row r="92" spans="1:11">
      <c r="A92">
        <v>1337</v>
      </c>
      <c r="B92" t="s">
        <v>223</v>
      </c>
      <c r="C92" t="s">
        <v>371</v>
      </c>
      <c r="D92" t="str">
        <f>T("20159")</f>
        <v>20159</v>
      </c>
      <c r="E92" t="s">
        <v>372</v>
      </c>
      <c r="F92" t="s">
        <v>361</v>
      </c>
      <c r="G92" t="s">
        <v>217</v>
      </c>
      <c r="H92" t="s">
        <v>16</v>
      </c>
      <c r="I92" t="str">
        <f>T("026070310")</f>
        <v>026070310</v>
      </c>
      <c r="J92" t="str">
        <f>T("0269007187")</f>
        <v>0269007187</v>
      </c>
      <c r="K92" t="s">
        <v>373</v>
      </c>
    </row>
    <row r="93" spans="1:11">
      <c r="A93">
        <v>1343</v>
      </c>
      <c r="B93" t="s">
        <v>374</v>
      </c>
      <c r="C93" t="s">
        <v>375</v>
      </c>
      <c r="D93" t="str">
        <f>T("20095")</f>
        <v>20095</v>
      </c>
      <c r="E93" t="s">
        <v>376</v>
      </c>
      <c r="F93" t="s">
        <v>361</v>
      </c>
      <c r="G93" t="s">
        <v>217</v>
      </c>
      <c r="H93" t="s">
        <v>16</v>
      </c>
      <c r="I93" t="str">
        <f>T("026134874")</f>
        <v>026134874</v>
      </c>
      <c r="J93" t="str">
        <f>T("026134811")</f>
        <v>026134811</v>
      </c>
      <c r="K93" t="s">
        <v>377</v>
      </c>
    </row>
    <row r="94" spans="1:11">
      <c r="A94">
        <v>1369</v>
      </c>
      <c r="B94" t="s">
        <v>378</v>
      </c>
      <c r="C94" t="s">
        <v>379</v>
      </c>
      <c r="D94" t="str">
        <f>T("20874")</f>
        <v>20874</v>
      </c>
      <c r="E94" t="s">
        <v>380</v>
      </c>
      <c r="F94" t="s">
        <v>356</v>
      </c>
      <c r="G94" t="s">
        <v>217</v>
      </c>
      <c r="H94" t="s">
        <v>16</v>
      </c>
      <c r="I94" t="str">
        <f>T("0396959169")</f>
        <v>0396959169</v>
      </c>
      <c r="J94" t="str">
        <f>T("0396959170")</f>
        <v>0396959170</v>
      </c>
      <c r="K94" t="s">
        <v>381</v>
      </c>
    </row>
    <row r="95" spans="1:11">
      <c r="A95">
        <v>1371</v>
      </c>
      <c r="B95" t="s">
        <v>382</v>
      </c>
      <c r="C95" t="s">
        <v>383</v>
      </c>
      <c r="D95" t="str">
        <f>T("20068")</f>
        <v>20068</v>
      </c>
      <c r="E95" t="s">
        <v>384</v>
      </c>
      <c r="F95" t="s">
        <v>361</v>
      </c>
      <c r="G95" t="s">
        <v>217</v>
      </c>
      <c r="H95" t="s">
        <v>16</v>
      </c>
      <c r="I95" t="str">
        <f>T("025472493")</f>
        <v>025472493</v>
      </c>
      <c r="J95" t="str">
        <f>T("0255303886")</f>
        <v>0255303886</v>
      </c>
      <c r="K95" t="s">
        <v>385</v>
      </c>
    </row>
    <row r="96" spans="1:11">
      <c r="A96">
        <v>1378</v>
      </c>
      <c r="B96" t="s">
        <v>386</v>
      </c>
      <c r="C96" t="s">
        <v>387</v>
      </c>
      <c r="D96" t="str">
        <f>T("20864")</f>
        <v>20864</v>
      </c>
      <c r="E96" t="s">
        <v>388</v>
      </c>
      <c r="F96" t="s">
        <v>356</v>
      </c>
      <c r="G96" t="s">
        <v>217</v>
      </c>
      <c r="H96" t="s">
        <v>16</v>
      </c>
      <c r="I96" t="str">
        <f>T("039653355")</f>
        <v>039653355</v>
      </c>
      <c r="J96" t="str">
        <f>T("039878788")</f>
        <v>039878788</v>
      </c>
      <c r="K96" t="s">
        <v>389</v>
      </c>
    </row>
    <row r="97" spans="1:11">
      <c r="A97">
        <v>1379</v>
      </c>
      <c r="B97" t="s">
        <v>390</v>
      </c>
      <c r="C97" t="s">
        <v>391</v>
      </c>
      <c r="D97" t="str">
        <f>T("20833")</f>
        <v>20833</v>
      </c>
      <c r="E97" t="s">
        <v>392</v>
      </c>
      <c r="F97" t="s">
        <v>356</v>
      </c>
      <c r="G97" t="s">
        <v>217</v>
      </c>
      <c r="H97" t="s">
        <v>16</v>
      </c>
      <c r="I97" t="str">
        <f>T("0362851354")</f>
        <v>0362851354</v>
      </c>
      <c r="J97" t="str">
        <f>T("0362853827")</f>
        <v>0362853827</v>
      </c>
      <c r="K97" t="s">
        <v>393</v>
      </c>
    </row>
    <row r="98" spans="1:11">
      <c r="A98">
        <v>1383</v>
      </c>
      <c r="B98" t="s">
        <v>394</v>
      </c>
      <c r="C98" t="s">
        <v>395</v>
      </c>
      <c r="D98" t="str">
        <f>T("20841")</f>
        <v>20841</v>
      </c>
      <c r="E98" t="s">
        <v>396</v>
      </c>
      <c r="F98" t="s">
        <v>356</v>
      </c>
      <c r="G98" t="s">
        <v>217</v>
      </c>
      <c r="H98" t="s">
        <v>16</v>
      </c>
      <c r="I98" t="str">
        <f>T("0362992122")</f>
        <v>0362992122</v>
      </c>
      <c r="J98" t="str">
        <f>T("0362992122")</f>
        <v>0362992122</v>
      </c>
      <c r="K98" t="s">
        <v>397</v>
      </c>
    </row>
    <row r="99" spans="1:11">
      <c r="A99">
        <v>1391</v>
      </c>
      <c r="B99" t="s">
        <v>398</v>
      </c>
      <c r="C99" t="s">
        <v>399</v>
      </c>
      <c r="D99" t="str">
        <f>T("20122")</f>
        <v>20122</v>
      </c>
      <c r="E99" t="s">
        <v>372</v>
      </c>
      <c r="F99" t="s">
        <v>361</v>
      </c>
      <c r="G99" t="s">
        <v>217</v>
      </c>
      <c r="H99" t="s">
        <v>16</v>
      </c>
      <c r="I99" t="str">
        <f>T("0258316621")</f>
        <v>0258316621</v>
      </c>
      <c r="J99" t="str">
        <f>T("0258316602")</f>
        <v>0258316602</v>
      </c>
      <c r="K99" t="s">
        <v>400</v>
      </c>
    </row>
    <row r="100" spans="1:11">
      <c r="A100">
        <v>1396</v>
      </c>
      <c r="B100" t="s">
        <v>401</v>
      </c>
      <c r="C100" t="s">
        <v>402</v>
      </c>
      <c r="D100" t="str">
        <f>T("20156")</f>
        <v>20156</v>
      </c>
      <c r="E100" t="s">
        <v>372</v>
      </c>
      <c r="F100" t="s">
        <v>361</v>
      </c>
      <c r="G100" t="s">
        <v>217</v>
      </c>
      <c r="H100" t="s">
        <v>16</v>
      </c>
      <c r="I100" t="str">
        <f>T("0238008709")</f>
        <v>0238008709</v>
      </c>
      <c r="J100" t="str">
        <f>T("0238008709")</f>
        <v>0238008709</v>
      </c>
      <c r="K100" t="s">
        <v>403</v>
      </c>
    </row>
    <row r="101" spans="1:11">
      <c r="A101">
        <v>1398</v>
      </c>
      <c r="B101" t="s">
        <v>404</v>
      </c>
      <c r="C101" t="s">
        <v>405</v>
      </c>
      <c r="D101" t="str">
        <f>T("20020")</f>
        <v>20020</v>
      </c>
      <c r="E101" t="s">
        <v>406</v>
      </c>
      <c r="F101" t="s">
        <v>361</v>
      </c>
      <c r="G101" t="s">
        <v>217</v>
      </c>
      <c r="H101" t="s">
        <v>16</v>
      </c>
      <c r="I101" t="str">
        <f>T("0293570493")</f>
        <v>0293570493</v>
      </c>
      <c r="J101" t="str">
        <f>T("0293570400")</f>
        <v>0293570400</v>
      </c>
      <c r="K101" t="s">
        <v>407</v>
      </c>
    </row>
    <row r="102" spans="1:11">
      <c r="A102">
        <v>1399</v>
      </c>
      <c r="B102" t="s">
        <v>408</v>
      </c>
      <c r="C102" t="s">
        <v>409</v>
      </c>
      <c r="D102" t="str">
        <f>T("20131")</f>
        <v>20131</v>
      </c>
      <c r="E102" t="s">
        <v>372</v>
      </c>
      <c r="F102" t="s">
        <v>361</v>
      </c>
      <c r="G102" t="s">
        <v>217</v>
      </c>
      <c r="H102" t="s">
        <v>16</v>
      </c>
      <c r="I102" t="str">
        <f>T("22894696")</f>
        <v>22894696</v>
      </c>
      <c r="J102" t="str">
        <f>T("022824876")</f>
        <v>022824876</v>
      </c>
      <c r="K102" t="s">
        <v>410</v>
      </c>
    </row>
    <row r="103" spans="1:11">
      <c r="A103">
        <v>1401</v>
      </c>
      <c r="B103" t="s">
        <v>411</v>
      </c>
      <c r="C103" t="s">
        <v>412</v>
      </c>
      <c r="D103" t="str">
        <f>T("27058")</f>
        <v>27058</v>
      </c>
      <c r="E103" t="s">
        <v>413</v>
      </c>
      <c r="F103" t="s">
        <v>414</v>
      </c>
      <c r="G103" t="s">
        <v>217</v>
      </c>
      <c r="H103" t="s">
        <v>16</v>
      </c>
      <c r="I103" t="str">
        <f>T("038343030")</f>
        <v>038343030</v>
      </c>
      <c r="J103" t="str">
        <f>T("038362982")</f>
        <v>038362982</v>
      </c>
      <c r="K103" t="s">
        <v>415</v>
      </c>
    </row>
    <row r="104" spans="1:11">
      <c r="A104">
        <v>1403</v>
      </c>
      <c r="B104" t="s">
        <v>416</v>
      </c>
      <c r="C104" t="s">
        <v>417</v>
      </c>
      <c r="D104" t="str">
        <f>T("27029")</f>
        <v>27029</v>
      </c>
      <c r="E104" t="s">
        <v>418</v>
      </c>
      <c r="F104" t="s">
        <v>414</v>
      </c>
      <c r="G104" t="s">
        <v>217</v>
      </c>
      <c r="H104" t="s">
        <v>16</v>
      </c>
      <c r="I104" t="str">
        <f>T("0381691400")</f>
        <v>0381691400</v>
      </c>
      <c r="J104" t="str">
        <f>T("0381691490")</f>
        <v>0381691490</v>
      </c>
      <c r="K104" t="s">
        <v>419</v>
      </c>
    </row>
    <row r="105" spans="1:11">
      <c r="A105">
        <v>1405</v>
      </c>
      <c r="B105" t="s">
        <v>420</v>
      </c>
      <c r="C105" t="s">
        <v>421</v>
      </c>
      <c r="D105" t="str">
        <f>T("27100")</f>
        <v>27100</v>
      </c>
      <c r="E105" t="s">
        <v>422</v>
      </c>
      <c r="F105" t="s">
        <v>414</v>
      </c>
      <c r="G105" t="s">
        <v>217</v>
      </c>
      <c r="H105" t="s">
        <v>16</v>
      </c>
      <c r="I105" t="str">
        <f>T("0382571712")</f>
        <v>0382571712</v>
      </c>
      <c r="J105" t="str">
        <f>T("0382568434")</f>
        <v>0382568434</v>
      </c>
      <c r="K105" t="s">
        <v>423</v>
      </c>
    </row>
    <row r="106" spans="1:11">
      <c r="A106">
        <v>1417</v>
      </c>
      <c r="B106" t="s">
        <v>424</v>
      </c>
      <c r="C106" t="s">
        <v>425</v>
      </c>
      <c r="D106" t="str">
        <f>T("27100")</f>
        <v>27100</v>
      </c>
      <c r="E106" t="s">
        <v>422</v>
      </c>
      <c r="F106" t="s">
        <v>414</v>
      </c>
      <c r="G106" t="s">
        <v>217</v>
      </c>
      <c r="H106" t="s">
        <v>16</v>
      </c>
      <c r="I106" t="str">
        <f>T("038226347")</f>
        <v>038226347</v>
      </c>
      <c r="J106" t="str">
        <f>T("0382532211")</f>
        <v>0382532211</v>
      </c>
      <c r="K106" t="s">
        <v>426</v>
      </c>
    </row>
    <row r="107" spans="1:11">
      <c r="A107">
        <v>1423</v>
      </c>
      <c r="B107" t="s">
        <v>427</v>
      </c>
      <c r="C107" t="s">
        <v>428</v>
      </c>
      <c r="D107" t="str">
        <f>T("20093")</f>
        <v>20093</v>
      </c>
      <c r="E107" t="s">
        <v>429</v>
      </c>
      <c r="F107" t="s">
        <v>361</v>
      </c>
      <c r="G107" t="s">
        <v>217</v>
      </c>
      <c r="H107" t="s">
        <v>16</v>
      </c>
      <c r="I107" t="str">
        <f>T("022531738")</f>
        <v>022531738</v>
      </c>
      <c r="J107" t="str">
        <f>T("022546411")</f>
        <v>022546411</v>
      </c>
      <c r="K107" t="s">
        <v>430</v>
      </c>
    </row>
    <row r="108" spans="1:11">
      <c r="A108">
        <v>1507</v>
      </c>
      <c r="B108" t="s">
        <v>431</v>
      </c>
      <c r="C108" t="s">
        <v>432</v>
      </c>
      <c r="D108" t="str">
        <f>T("20121")</f>
        <v>20121</v>
      </c>
      <c r="E108" t="s">
        <v>372</v>
      </c>
      <c r="F108" t="s">
        <v>361</v>
      </c>
      <c r="G108" t="s">
        <v>217</v>
      </c>
      <c r="H108" t="s">
        <v>16</v>
      </c>
      <c r="I108" t="str">
        <f>T("028635971")</f>
        <v>028635971</v>
      </c>
      <c r="J108" t="str">
        <f>T("02874420")</f>
        <v>02874420</v>
      </c>
      <c r="K108" t="s">
        <v>433</v>
      </c>
    </row>
    <row r="109" spans="1:11">
      <c r="A109">
        <v>1509</v>
      </c>
      <c r="B109" t="s">
        <v>434</v>
      </c>
      <c r="C109" t="s">
        <v>435</v>
      </c>
      <c r="D109" t="str">
        <f>T("20137")</f>
        <v>20137</v>
      </c>
      <c r="E109" t="s">
        <v>372</v>
      </c>
      <c r="F109" t="s">
        <v>361</v>
      </c>
      <c r="G109" t="s">
        <v>217</v>
      </c>
      <c r="H109" t="s">
        <v>16</v>
      </c>
      <c r="I109" t="str">
        <f>T("02741245")</f>
        <v>02741245</v>
      </c>
      <c r="J109" t="str">
        <f>T("0270108899")</f>
        <v>0270108899</v>
      </c>
      <c r="K109" t="s">
        <v>436</v>
      </c>
    </row>
    <row r="110" spans="1:11">
      <c r="A110">
        <v>1517</v>
      </c>
      <c r="B110" t="s">
        <v>437</v>
      </c>
      <c r="C110" t="s">
        <v>438</v>
      </c>
      <c r="D110" t="str">
        <f>T("23801")</f>
        <v>23801</v>
      </c>
      <c r="E110" t="s">
        <v>439</v>
      </c>
      <c r="F110" t="s">
        <v>285</v>
      </c>
      <c r="G110" t="s">
        <v>217</v>
      </c>
      <c r="H110" t="s">
        <v>16</v>
      </c>
      <c r="I110" t="str">
        <f>T("0341641116")</f>
        <v>0341641116</v>
      </c>
      <c r="J110" t="str">
        <f>T("0341593954")</f>
        <v>0341593954</v>
      </c>
      <c r="K110" t="s">
        <v>440</v>
      </c>
    </row>
    <row r="111" spans="1:11">
      <c r="A111">
        <v>1529</v>
      </c>
      <c r="B111" t="s">
        <v>441</v>
      </c>
      <c r="C111" t="s">
        <v>442</v>
      </c>
      <c r="D111" t="str">
        <f>T("20155")</f>
        <v>20155</v>
      </c>
      <c r="E111" t="s">
        <v>372</v>
      </c>
      <c r="F111" t="s">
        <v>361</v>
      </c>
      <c r="G111" t="s">
        <v>217</v>
      </c>
      <c r="H111" t="s">
        <v>16</v>
      </c>
      <c r="I111" t="str">
        <f>T("023271241")</f>
        <v>023271241</v>
      </c>
      <c r="J111" t="str">
        <f>T("023271389")</f>
        <v>023271389</v>
      </c>
      <c r="K111" t="s">
        <v>443</v>
      </c>
    </row>
    <row r="112" spans="1:11">
      <c r="A112">
        <v>1532</v>
      </c>
      <c r="B112" t="s">
        <v>444</v>
      </c>
      <c r="C112" t="s">
        <v>445</v>
      </c>
      <c r="D112" t="str">
        <f>T("20030")</f>
        <v>20030</v>
      </c>
      <c r="E112" t="s">
        <v>446</v>
      </c>
      <c r="F112" t="s">
        <v>361</v>
      </c>
      <c r="G112" t="s">
        <v>217</v>
      </c>
      <c r="H112" t="s">
        <v>16</v>
      </c>
      <c r="I112" t="str">
        <f>T("0299050507")</f>
        <v>0299050507</v>
      </c>
      <c r="J112" t="str">
        <f>T("0299486462")</f>
        <v>0299486462</v>
      </c>
      <c r="K112" t="s">
        <v>447</v>
      </c>
    </row>
    <row r="113" spans="1:11">
      <c r="A113">
        <v>1539</v>
      </c>
      <c r="B113" t="s">
        <v>448</v>
      </c>
      <c r="C113" t="s">
        <v>449</v>
      </c>
      <c r="D113" t="str">
        <f>T("20016")</f>
        <v>20016</v>
      </c>
      <c r="E113" t="s">
        <v>450</v>
      </c>
      <c r="F113" t="s">
        <v>361</v>
      </c>
      <c r="G113" t="s">
        <v>217</v>
      </c>
      <c r="H113" t="s">
        <v>16</v>
      </c>
      <c r="I113" t="str">
        <f>T("023535274")</f>
        <v>023535274</v>
      </c>
      <c r="J113" t="str">
        <f>T("023535274")</f>
        <v>023535274</v>
      </c>
      <c r="K113" t="s">
        <v>451</v>
      </c>
    </row>
    <row r="114" spans="1:11">
      <c r="A114">
        <v>1549</v>
      </c>
      <c r="B114" t="s">
        <v>444</v>
      </c>
      <c r="C114" t="s">
        <v>452</v>
      </c>
      <c r="D114" t="str">
        <f>T("20821")</f>
        <v>20821</v>
      </c>
      <c r="E114" t="s">
        <v>453</v>
      </c>
      <c r="F114" t="s">
        <v>356</v>
      </c>
      <c r="G114" t="s">
        <v>217</v>
      </c>
      <c r="H114" t="s">
        <v>16</v>
      </c>
      <c r="I114" t="str">
        <f>T("036275101")</f>
        <v>036275101</v>
      </c>
      <c r="J114" t="str">
        <f>T("0362346220")</f>
        <v>0362346220</v>
      </c>
      <c r="K114" t="s">
        <v>454</v>
      </c>
    </row>
    <row r="115" spans="1:11">
      <c r="A115">
        <v>1550</v>
      </c>
      <c r="B115" t="s">
        <v>455</v>
      </c>
      <c r="C115" t="s">
        <v>456</v>
      </c>
      <c r="D115" t="str">
        <f>T("20811")</f>
        <v>20811</v>
      </c>
      <c r="E115" t="s">
        <v>457</v>
      </c>
      <c r="F115" t="s">
        <v>356</v>
      </c>
      <c r="G115" t="s">
        <v>217</v>
      </c>
      <c r="H115" t="s">
        <v>16</v>
      </c>
      <c r="I115" t="str">
        <f>T("0362502115")</f>
        <v>0362502115</v>
      </c>
      <c r="J115" t="str">
        <f>T("0362506250")</f>
        <v>0362506250</v>
      </c>
      <c r="K115" t="s">
        <v>458</v>
      </c>
    </row>
    <row r="116" spans="1:11">
      <c r="A116">
        <v>1553</v>
      </c>
      <c r="B116" t="s">
        <v>459</v>
      </c>
      <c r="C116" t="s">
        <v>460</v>
      </c>
      <c r="D116" t="str">
        <f>T("20063")</f>
        <v>20063</v>
      </c>
      <c r="E116" t="s">
        <v>461</v>
      </c>
      <c r="F116" t="s">
        <v>361</v>
      </c>
      <c r="G116" t="s">
        <v>217</v>
      </c>
      <c r="H116" t="s">
        <v>16</v>
      </c>
      <c r="I116" t="str">
        <f>T("029241126")</f>
        <v>029241126</v>
      </c>
      <c r="J116" t="str">
        <f>T("0292330190")</f>
        <v>0292330190</v>
      </c>
      <c r="K116" t="s">
        <v>462</v>
      </c>
    </row>
    <row r="117" spans="1:11">
      <c r="A117">
        <v>1555</v>
      </c>
      <c r="B117" t="s">
        <v>463</v>
      </c>
      <c r="C117" t="s">
        <v>464</v>
      </c>
      <c r="D117" t="str">
        <f>T("20043")</f>
        <v>20043</v>
      </c>
      <c r="E117" t="s">
        <v>465</v>
      </c>
      <c r="F117" t="s">
        <v>356</v>
      </c>
      <c r="G117" t="s">
        <v>217</v>
      </c>
      <c r="H117" t="s">
        <v>16</v>
      </c>
      <c r="I117" t="str">
        <f>T("039615098")</f>
        <v>039615098</v>
      </c>
      <c r="J117" t="str">
        <f>T("039615098")</f>
        <v>039615098</v>
      </c>
      <c r="K117" t="s">
        <v>466</v>
      </c>
    </row>
    <row r="118" spans="1:11">
      <c r="A118">
        <v>1562</v>
      </c>
      <c r="B118" t="s">
        <v>467</v>
      </c>
      <c r="C118" t="s">
        <v>468</v>
      </c>
      <c r="D118" t="str">
        <f>T("20900")</f>
        <v>20900</v>
      </c>
      <c r="E118" t="s">
        <v>469</v>
      </c>
      <c r="F118" t="s">
        <v>356</v>
      </c>
      <c r="G118" t="s">
        <v>217</v>
      </c>
      <c r="H118" t="s">
        <v>16</v>
      </c>
      <c r="I118" t="str">
        <f>T("0396772347")</f>
        <v>0396772347</v>
      </c>
      <c r="J118" t="str">
        <f>T("0392327074")</f>
        <v>0392327074</v>
      </c>
      <c r="K118" t="s">
        <v>470</v>
      </c>
    </row>
    <row r="119" spans="1:11">
      <c r="A119">
        <v>1567</v>
      </c>
      <c r="B119" t="s">
        <v>471</v>
      </c>
      <c r="C119" t="s">
        <v>472</v>
      </c>
      <c r="D119" t="str">
        <f>T("20831")</f>
        <v>20831</v>
      </c>
      <c r="E119" t="s">
        <v>473</v>
      </c>
      <c r="F119" t="s">
        <v>356</v>
      </c>
      <c r="G119" t="s">
        <v>217</v>
      </c>
      <c r="H119" t="s">
        <v>16</v>
      </c>
      <c r="I119" t="str">
        <f>T("0362243131")</f>
        <v>0362243131</v>
      </c>
      <c r="J119" t="str">
        <f>T("0362244208")</f>
        <v>0362244208</v>
      </c>
      <c r="K119" t="s">
        <v>474</v>
      </c>
    </row>
    <row r="120" spans="1:11">
      <c r="A120">
        <v>1572</v>
      </c>
      <c r="B120" t="s">
        <v>475</v>
      </c>
      <c r="C120" t="s">
        <v>476</v>
      </c>
      <c r="D120" t="str">
        <f>T("20122")</f>
        <v>20122</v>
      </c>
      <c r="E120" t="s">
        <v>372</v>
      </c>
      <c r="F120" t="s">
        <v>361</v>
      </c>
      <c r="G120" t="s">
        <v>217</v>
      </c>
      <c r="H120" t="s">
        <v>16</v>
      </c>
      <c r="I120" t="str">
        <f>T("028057950")</f>
        <v>028057950</v>
      </c>
      <c r="J120" t="str">
        <f>T("0286451397")</f>
        <v>0286451397</v>
      </c>
      <c r="K120" t="s">
        <v>477</v>
      </c>
    </row>
    <row r="121" spans="1:11">
      <c r="A121">
        <v>1574</v>
      </c>
      <c r="B121" t="s">
        <v>478</v>
      </c>
      <c r="C121" t="s">
        <v>479</v>
      </c>
      <c r="D121" t="str">
        <f>T("20017")</f>
        <v>20017</v>
      </c>
      <c r="E121" t="s">
        <v>480</v>
      </c>
      <c r="F121" t="s">
        <v>361</v>
      </c>
      <c r="G121" t="s">
        <v>217</v>
      </c>
      <c r="H121" t="s">
        <v>16</v>
      </c>
      <c r="I121" t="str">
        <f>T("029303124")</f>
        <v>029303124</v>
      </c>
      <c r="J121" t="str">
        <f>T("0293181815")</f>
        <v>0293181815</v>
      </c>
      <c r="K121" t="s">
        <v>481</v>
      </c>
    </row>
    <row r="122" spans="1:11">
      <c r="A122">
        <v>1577</v>
      </c>
      <c r="B122" t="s">
        <v>482</v>
      </c>
      <c r="C122" t="s">
        <v>483</v>
      </c>
      <c r="D122" t="str">
        <f>T("20019")</f>
        <v>20019</v>
      </c>
      <c r="E122" t="s">
        <v>484</v>
      </c>
      <c r="F122" t="s">
        <v>361</v>
      </c>
      <c r="G122" t="s">
        <v>217</v>
      </c>
      <c r="H122" t="s">
        <v>16</v>
      </c>
      <c r="I122" t="str">
        <f>T("023288741")</f>
        <v>023288741</v>
      </c>
      <c r="J122" t="str">
        <f>T("0233501678")</f>
        <v>0233501678</v>
      </c>
      <c r="K122" t="s">
        <v>485</v>
      </c>
    </row>
    <row r="123" spans="1:11">
      <c r="A123">
        <v>1578</v>
      </c>
      <c r="B123" t="s">
        <v>486</v>
      </c>
      <c r="C123" t="s">
        <v>487</v>
      </c>
      <c r="D123" t="str">
        <f>T("26817")</f>
        <v>26817</v>
      </c>
      <c r="E123" t="s">
        <v>488</v>
      </c>
      <c r="F123" t="s">
        <v>489</v>
      </c>
      <c r="G123" t="s">
        <v>217</v>
      </c>
      <c r="H123" t="s">
        <v>16</v>
      </c>
      <c r="I123" t="str">
        <f>T("037179498")</f>
        <v>037179498</v>
      </c>
      <c r="J123" t="str">
        <f>T("")</f>
        <v/>
      </c>
      <c r="K123" t="s">
        <v>490</v>
      </c>
    </row>
    <row r="124" spans="1:11">
      <c r="A124">
        <v>1601</v>
      </c>
      <c r="B124" t="s">
        <v>491</v>
      </c>
      <c r="C124" t="s">
        <v>492</v>
      </c>
      <c r="D124" t="str">
        <f>T("21052")</f>
        <v>21052</v>
      </c>
      <c r="E124" t="s">
        <v>493</v>
      </c>
      <c r="F124" t="s">
        <v>494</v>
      </c>
      <c r="G124" t="s">
        <v>217</v>
      </c>
      <c r="H124" t="s">
        <v>16</v>
      </c>
      <c r="I124" t="str">
        <f>T("0331631366")</f>
        <v>0331631366</v>
      </c>
      <c r="J124" t="str">
        <f>T("0331631694")</f>
        <v>0331631694</v>
      </c>
      <c r="K124" t="s">
        <v>495</v>
      </c>
    </row>
    <row r="125" spans="1:11">
      <c r="A125">
        <v>1603</v>
      </c>
      <c r="B125" t="s">
        <v>496</v>
      </c>
      <c r="C125" t="s">
        <v>497</v>
      </c>
      <c r="D125" t="str">
        <f>T("21012")</f>
        <v>21012</v>
      </c>
      <c r="E125" t="s">
        <v>498</v>
      </c>
      <c r="F125" t="s">
        <v>494</v>
      </c>
      <c r="G125" t="s">
        <v>217</v>
      </c>
      <c r="H125" t="s">
        <v>16</v>
      </c>
      <c r="I125" t="str">
        <f>T("0331200025")</f>
        <v>0331200025</v>
      </c>
      <c r="J125" t="str">
        <f>T("0331206642")</f>
        <v>0331206642</v>
      </c>
      <c r="K125" t="s">
        <v>499</v>
      </c>
    </row>
    <row r="126" spans="1:11">
      <c r="A126">
        <v>1604</v>
      </c>
      <c r="B126" t="s">
        <v>500</v>
      </c>
      <c r="C126" t="s">
        <v>501</v>
      </c>
      <c r="D126" t="str">
        <f>T("21049")</f>
        <v>21049</v>
      </c>
      <c r="E126" t="s">
        <v>502</v>
      </c>
      <c r="F126" t="s">
        <v>494</v>
      </c>
      <c r="G126" t="s">
        <v>217</v>
      </c>
      <c r="H126" t="s">
        <v>16</v>
      </c>
      <c r="I126" t="str">
        <f>T("0331842422")</f>
        <v>0331842422</v>
      </c>
      <c r="J126" t="str">
        <f>T("0331842422")</f>
        <v>0331842422</v>
      </c>
      <c r="K126" t="s">
        <v>503</v>
      </c>
    </row>
    <row r="127" spans="1:11">
      <c r="A127">
        <v>1613</v>
      </c>
      <c r="B127" t="s">
        <v>504</v>
      </c>
      <c r="C127" t="s">
        <v>505</v>
      </c>
      <c r="D127" t="str">
        <f>T("21013")</f>
        <v>21013</v>
      </c>
      <c r="E127" t="s">
        <v>506</v>
      </c>
      <c r="F127" t="s">
        <v>494</v>
      </c>
      <c r="G127" t="s">
        <v>217</v>
      </c>
      <c r="H127" t="s">
        <v>16</v>
      </c>
      <c r="I127" t="str">
        <f>T("0331793056")</f>
        <v>0331793056</v>
      </c>
      <c r="J127" t="str">
        <f>T("0331244161")</f>
        <v>0331244161</v>
      </c>
      <c r="K127" t="s">
        <v>507</v>
      </c>
    </row>
    <row r="128" spans="1:11">
      <c r="A128">
        <v>1614</v>
      </c>
      <c r="B128" t="s">
        <v>508</v>
      </c>
      <c r="C128" t="s">
        <v>509</v>
      </c>
      <c r="D128" t="str">
        <f>T("21047")</f>
        <v>21047</v>
      </c>
      <c r="E128" t="s">
        <v>510</v>
      </c>
      <c r="F128" t="s">
        <v>494</v>
      </c>
      <c r="G128" t="s">
        <v>217</v>
      </c>
      <c r="H128" t="s">
        <v>16</v>
      </c>
      <c r="I128" t="str">
        <f>T("029605221")</f>
        <v>029605221</v>
      </c>
      <c r="J128" t="str">
        <f>T("0296701864")</f>
        <v>0296701864</v>
      </c>
      <c r="K128" t="s">
        <v>511</v>
      </c>
    </row>
    <row r="129" spans="1:11">
      <c r="A129">
        <v>1617</v>
      </c>
      <c r="B129" t="s">
        <v>512</v>
      </c>
      <c r="C129" t="s">
        <v>513</v>
      </c>
      <c r="D129" t="str">
        <f>T("21016")</f>
        <v>21016</v>
      </c>
      <c r="E129" t="s">
        <v>514</v>
      </c>
      <c r="F129" t="s">
        <v>494</v>
      </c>
      <c r="G129" t="s">
        <v>217</v>
      </c>
      <c r="H129" t="s">
        <v>16</v>
      </c>
      <c r="I129" t="str">
        <f>T("0332530317")</f>
        <v>0332530317</v>
      </c>
      <c r="J129" t="str">
        <f>T("0332534392")</f>
        <v>0332534392</v>
      </c>
      <c r="K129" t="s">
        <v>515</v>
      </c>
    </row>
    <row r="130" spans="1:11">
      <c r="A130">
        <v>1627</v>
      </c>
      <c r="B130" t="s">
        <v>516</v>
      </c>
      <c r="C130" t="s">
        <v>517</v>
      </c>
      <c r="D130" t="str">
        <f>T("21013")</f>
        <v>21013</v>
      </c>
      <c r="E130" t="s">
        <v>506</v>
      </c>
      <c r="F130" t="s">
        <v>494</v>
      </c>
      <c r="G130" t="s">
        <v>217</v>
      </c>
      <c r="H130" t="s">
        <v>16</v>
      </c>
      <c r="I130" t="str">
        <f>T("0331774522")</f>
        <v>0331774522</v>
      </c>
      <c r="J130" t="str">
        <f>T("0331774472")</f>
        <v>0331774472</v>
      </c>
      <c r="K130" t="s">
        <v>518</v>
      </c>
    </row>
    <row r="131" spans="1:11">
      <c r="A131">
        <v>1636</v>
      </c>
      <c r="B131" t="s">
        <v>519</v>
      </c>
      <c r="C131" t="s">
        <v>520</v>
      </c>
      <c r="D131" t="str">
        <f>T("21053")</f>
        <v>21053</v>
      </c>
      <c r="E131" t="s">
        <v>521</v>
      </c>
      <c r="F131" t="s">
        <v>494</v>
      </c>
      <c r="G131" t="s">
        <v>217</v>
      </c>
      <c r="H131" t="s">
        <v>16</v>
      </c>
      <c r="I131" t="str">
        <f>T("0331503977")</f>
        <v>0331503977</v>
      </c>
      <c r="J131" t="str">
        <f>T("0331480370")</f>
        <v>0331480370</v>
      </c>
      <c r="K131" t="s">
        <v>522</v>
      </c>
    </row>
    <row r="132" spans="1:11">
      <c r="A132">
        <v>1637</v>
      </c>
      <c r="B132" t="s">
        <v>523</v>
      </c>
      <c r="C132" t="s">
        <v>524</v>
      </c>
      <c r="D132" t="str">
        <f>T("21100")</f>
        <v>21100</v>
      </c>
      <c r="E132" t="s">
        <v>525</v>
      </c>
      <c r="F132" t="s">
        <v>494</v>
      </c>
      <c r="G132" t="s">
        <v>217</v>
      </c>
      <c r="H132" t="s">
        <v>16</v>
      </c>
      <c r="I132" t="str">
        <f>T("0332285234")</f>
        <v>0332285234</v>
      </c>
      <c r="J132" t="str">
        <f>T("0332497131")</f>
        <v>0332497131</v>
      </c>
      <c r="K132" t="s">
        <v>526</v>
      </c>
    </row>
    <row r="133" spans="1:11">
      <c r="A133">
        <v>1723</v>
      </c>
      <c r="B133" t="s">
        <v>527</v>
      </c>
      <c r="C133" t="s">
        <v>528</v>
      </c>
      <c r="D133" t="str">
        <f>T("25034")</f>
        <v>25034</v>
      </c>
      <c r="E133" t="s">
        <v>529</v>
      </c>
      <c r="F133" t="s">
        <v>530</v>
      </c>
      <c r="G133" t="s">
        <v>217</v>
      </c>
      <c r="H133" t="s">
        <v>16</v>
      </c>
      <c r="I133" t="str">
        <f>T("030941202")</f>
        <v>030941202</v>
      </c>
      <c r="J133" t="str">
        <f>T("0309941055")</f>
        <v>0309941055</v>
      </c>
      <c r="K133" t="s">
        <v>531</v>
      </c>
    </row>
    <row r="134" spans="1:11">
      <c r="A134">
        <v>1727</v>
      </c>
      <c r="B134" t="s">
        <v>532</v>
      </c>
      <c r="C134" t="s">
        <v>533</v>
      </c>
      <c r="D134" t="str">
        <f>T("25038")</f>
        <v>25038</v>
      </c>
      <c r="E134" t="s">
        <v>534</v>
      </c>
      <c r="F134" t="s">
        <v>530</v>
      </c>
      <c r="G134" t="s">
        <v>217</v>
      </c>
      <c r="H134" t="s">
        <v>16</v>
      </c>
      <c r="I134" t="str">
        <f>T("0307241661")</f>
        <v>0307241661</v>
      </c>
      <c r="J134" t="str">
        <f>T("0307241661")</f>
        <v>0307241661</v>
      </c>
      <c r="K134" t="s">
        <v>535</v>
      </c>
    </row>
    <row r="135" spans="1:11">
      <c r="A135">
        <v>1729</v>
      </c>
      <c r="B135" t="s">
        <v>536</v>
      </c>
      <c r="C135" t="s">
        <v>537</v>
      </c>
      <c r="D135" t="str">
        <f>T("25125")</f>
        <v>25125</v>
      </c>
      <c r="E135" t="s">
        <v>538</v>
      </c>
      <c r="F135" t="s">
        <v>530</v>
      </c>
      <c r="G135" t="s">
        <v>217</v>
      </c>
      <c r="H135" t="s">
        <v>16</v>
      </c>
      <c r="I135" t="str">
        <f>T("0303531152")</f>
        <v>0303531152</v>
      </c>
      <c r="J135" t="str">
        <f>T("0303544427")</f>
        <v>0303544427</v>
      </c>
      <c r="K135" t="s">
        <v>539</v>
      </c>
    </row>
    <row r="136" spans="1:11">
      <c r="A136">
        <v>1730</v>
      </c>
      <c r="B136" t="s">
        <v>527</v>
      </c>
      <c r="C136" t="s">
        <v>540</v>
      </c>
      <c r="D136" t="str">
        <f>T("25025")</f>
        <v>25025</v>
      </c>
      <c r="E136" t="s">
        <v>541</v>
      </c>
      <c r="F136" t="s">
        <v>530</v>
      </c>
      <c r="G136" t="s">
        <v>217</v>
      </c>
      <c r="H136" t="s">
        <v>16</v>
      </c>
      <c r="I136" t="str">
        <f>T("0309380866")</f>
        <v>0309380866</v>
      </c>
      <c r="J136" t="str">
        <f>T("0309385453")</f>
        <v>0309385453</v>
      </c>
      <c r="K136" t="s">
        <v>542</v>
      </c>
    </row>
    <row r="137" spans="1:11">
      <c r="A137">
        <v>1734</v>
      </c>
      <c r="B137" t="s">
        <v>543</v>
      </c>
      <c r="C137" t="s">
        <v>544</v>
      </c>
      <c r="D137" t="str">
        <f>T("25085")</f>
        <v>25085</v>
      </c>
      <c r="E137" t="s">
        <v>545</v>
      </c>
      <c r="F137" t="s">
        <v>530</v>
      </c>
      <c r="G137" t="s">
        <v>217</v>
      </c>
      <c r="H137" t="s">
        <v>16</v>
      </c>
      <c r="I137" t="str">
        <f>T("036531732")</f>
        <v>036531732</v>
      </c>
      <c r="J137" t="str">
        <f>T("0365372316")</f>
        <v>0365372316</v>
      </c>
      <c r="K137" t="s">
        <v>546</v>
      </c>
    </row>
    <row r="138" spans="1:11">
      <c r="A138">
        <v>1736</v>
      </c>
      <c r="B138" t="s">
        <v>547</v>
      </c>
      <c r="C138" t="s">
        <v>548</v>
      </c>
      <c r="D138" t="str">
        <f>T("25128")</f>
        <v>25128</v>
      </c>
      <c r="E138" t="s">
        <v>538</v>
      </c>
      <c r="F138" t="s">
        <v>530</v>
      </c>
      <c r="G138" t="s">
        <v>217</v>
      </c>
      <c r="H138" t="s">
        <v>16</v>
      </c>
      <c r="I138" t="str">
        <f>T("030301359")</f>
        <v>030301359</v>
      </c>
      <c r="J138" t="str">
        <f>T("030390594")</f>
        <v>030390594</v>
      </c>
      <c r="K138" t="s">
        <v>549</v>
      </c>
    </row>
    <row r="139" spans="1:11">
      <c r="A139">
        <v>1740</v>
      </c>
      <c r="B139" t="s">
        <v>550</v>
      </c>
      <c r="C139" t="s">
        <v>551</v>
      </c>
      <c r="D139" t="str">
        <f>T("25036")</f>
        <v>25036</v>
      </c>
      <c r="E139" t="s">
        <v>552</v>
      </c>
      <c r="F139" t="s">
        <v>530</v>
      </c>
      <c r="G139" t="s">
        <v>217</v>
      </c>
      <c r="H139" t="s">
        <v>16</v>
      </c>
      <c r="I139" t="str">
        <f>T("030733770")</f>
        <v>030733770</v>
      </c>
      <c r="J139" t="str">
        <f>T("030733770")</f>
        <v>030733770</v>
      </c>
      <c r="K139" t="s">
        <v>553</v>
      </c>
    </row>
    <row r="140" spans="1:11">
      <c r="A140">
        <v>1749</v>
      </c>
      <c r="B140" t="s">
        <v>554</v>
      </c>
      <c r="C140" t="s">
        <v>555</v>
      </c>
      <c r="D140" t="str">
        <f>T("25015")</f>
        <v>25015</v>
      </c>
      <c r="E140" t="s">
        <v>556</v>
      </c>
      <c r="F140" t="s">
        <v>530</v>
      </c>
      <c r="G140" t="s">
        <v>217</v>
      </c>
      <c r="H140" t="s">
        <v>16</v>
      </c>
      <c r="I140" t="str">
        <f>T("0309912775")</f>
        <v>0309912775</v>
      </c>
      <c r="J140" t="str">
        <f>T("0309912901")</f>
        <v>0309912901</v>
      </c>
      <c r="K140" t="s">
        <v>557</v>
      </c>
    </row>
    <row r="141" spans="1:11">
      <c r="A141">
        <v>1751</v>
      </c>
      <c r="B141" t="s">
        <v>558</v>
      </c>
      <c r="C141" t="s">
        <v>559</v>
      </c>
      <c r="D141" t="str">
        <f>T("25087")</f>
        <v>25087</v>
      </c>
      <c r="E141" t="s">
        <v>560</v>
      </c>
      <c r="F141" t="s">
        <v>530</v>
      </c>
      <c r="G141" t="s">
        <v>217</v>
      </c>
      <c r="H141" t="s">
        <v>16</v>
      </c>
      <c r="I141" t="str">
        <f>T("036543439")</f>
        <v>036543439</v>
      </c>
      <c r="J141" t="str">
        <f>T("036541570")</f>
        <v>036541570</v>
      </c>
      <c r="K141" t="s">
        <v>561</v>
      </c>
    </row>
    <row r="142" spans="1:11">
      <c r="A142">
        <v>1752</v>
      </c>
      <c r="B142" t="s">
        <v>231</v>
      </c>
      <c r="C142" t="s">
        <v>562</v>
      </c>
      <c r="D142" t="str">
        <f>T("25047")</f>
        <v>25047</v>
      </c>
      <c r="E142" t="s">
        <v>563</v>
      </c>
      <c r="F142" t="s">
        <v>530</v>
      </c>
      <c r="G142" t="s">
        <v>217</v>
      </c>
      <c r="H142" t="s">
        <v>16</v>
      </c>
      <c r="I142" t="str">
        <f>T("0364530609")</f>
        <v>0364530609</v>
      </c>
      <c r="J142" t="str">
        <f>T("0364530609")</f>
        <v>0364530609</v>
      </c>
      <c r="K142" t="s">
        <v>564</v>
      </c>
    </row>
    <row r="143" spans="1:11">
      <c r="A143">
        <v>1802</v>
      </c>
      <c r="B143" t="s">
        <v>565</v>
      </c>
      <c r="C143" t="s">
        <v>566</v>
      </c>
      <c r="D143" t="str">
        <f>T("38066")</f>
        <v>38066</v>
      </c>
      <c r="E143" t="s">
        <v>567</v>
      </c>
      <c r="F143" t="s">
        <v>568</v>
      </c>
      <c r="G143" t="s">
        <v>569</v>
      </c>
      <c r="H143" t="s">
        <v>16</v>
      </c>
      <c r="I143" t="str">
        <f>T("0464551748")</f>
        <v>0464551748</v>
      </c>
      <c r="J143" t="str">
        <f>T("0464551748")</f>
        <v>0464551748</v>
      </c>
      <c r="K143" t="s">
        <v>570</v>
      </c>
    </row>
    <row r="144" spans="1:11">
      <c r="A144">
        <v>1803</v>
      </c>
      <c r="B144" t="s">
        <v>571</v>
      </c>
      <c r="C144" t="s">
        <v>572</v>
      </c>
      <c r="D144" t="str">
        <f>T("38068")</f>
        <v>38068</v>
      </c>
      <c r="E144" t="s">
        <v>573</v>
      </c>
      <c r="F144" t="s">
        <v>568</v>
      </c>
      <c r="G144" t="s">
        <v>569</v>
      </c>
      <c r="H144" t="s">
        <v>16</v>
      </c>
      <c r="I144" t="str">
        <f>T("0464436843")</f>
        <v>0464436843</v>
      </c>
      <c r="J144" t="str">
        <f>T("0464430436")</f>
        <v>0464430436</v>
      </c>
      <c r="K144" t="s">
        <v>574</v>
      </c>
    </row>
    <row r="145" spans="1:11">
      <c r="A145">
        <v>1816</v>
      </c>
      <c r="B145" t="s">
        <v>575</v>
      </c>
      <c r="C145" t="s">
        <v>576</v>
      </c>
      <c r="D145" t="str">
        <f>T("38079")</f>
        <v>38079</v>
      </c>
      <c r="E145" t="s">
        <v>577</v>
      </c>
      <c r="F145" t="s">
        <v>568</v>
      </c>
      <c r="G145" t="s">
        <v>569</v>
      </c>
      <c r="H145" t="s">
        <v>16</v>
      </c>
      <c r="I145" t="str">
        <f>T("0465321010")</f>
        <v>0465321010</v>
      </c>
      <c r="J145" t="str">
        <f>T("0465321010")</f>
        <v>0465321010</v>
      </c>
      <c r="K145" t="s">
        <v>578</v>
      </c>
    </row>
    <row r="146" spans="1:11">
      <c r="A146">
        <v>1823</v>
      </c>
      <c r="B146" t="s">
        <v>579</v>
      </c>
      <c r="C146" t="s">
        <v>580</v>
      </c>
      <c r="D146" t="str">
        <f>T("38037")</f>
        <v>38037</v>
      </c>
      <c r="E146" t="s">
        <v>581</v>
      </c>
      <c r="F146" t="s">
        <v>568</v>
      </c>
      <c r="G146" t="s">
        <v>569</v>
      </c>
      <c r="H146" t="s">
        <v>16</v>
      </c>
      <c r="I146" t="str">
        <f>T("0462501834")</f>
        <v>0462501834</v>
      </c>
      <c r="J146" t="str">
        <f>T("0462507952")</f>
        <v>0462507952</v>
      </c>
      <c r="K146" t="s">
        <v>582</v>
      </c>
    </row>
    <row r="147" spans="1:11">
      <c r="A147">
        <v>1826</v>
      </c>
      <c r="B147" t="s">
        <v>583</v>
      </c>
      <c r="C147" t="s">
        <v>584</v>
      </c>
      <c r="D147" t="str">
        <f>T("38122")</f>
        <v>38122</v>
      </c>
      <c r="E147" t="s">
        <v>585</v>
      </c>
      <c r="F147" t="s">
        <v>568</v>
      </c>
      <c r="G147" t="s">
        <v>569</v>
      </c>
      <c r="H147" t="s">
        <v>16</v>
      </c>
      <c r="I147" t="str">
        <f>T("0461265749")</f>
        <v>0461265749</v>
      </c>
      <c r="J147" t="str">
        <f>T("0461265759")</f>
        <v>0461265759</v>
      </c>
      <c r="K147" t="s">
        <v>586</v>
      </c>
    </row>
    <row r="148" spans="1:11">
      <c r="A148">
        <v>1828</v>
      </c>
      <c r="B148" t="s">
        <v>587</v>
      </c>
      <c r="C148" t="s">
        <v>588</v>
      </c>
      <c r="D148" t="str">
        <f>T("38033")</f>
        <v>38033</v>
      </c>
      <c r="E148" t="s">
        <v>589</v>
      </c>
      <c r="F148" t="s">
        <v>568</v>
      </c>
      <c r="G148" t="s">
        <v>569</v>
      </c>
      <c r="H148" t="s">
        <v>16</v>
      </c>
      <c r="I148" t="str">
        <f>T("0462230250")</f>
        <v>0462230250</v>
      </c>
      <c r="J148" t="str">
        <f>T("0462507952")</f>
        <v>0462507952</v>
      </c>
      <c r="K148" t="s">
        <v>582</v>
      </c>
    </row>
    <row r="149" spans="1:11">
      <c r="A149">
        <v>1914</v>
      </c>
      <c r="B149" t="s">
        <v>590</v>
      </c>
      <c r="C149" t="s">
        <v>591</v>
      </c>
      <c r="D149" t="str">
        <f>T("32032")</f>
        <v>32032</v>
      </c>
      <c r="E149" t="s">
        <v>592</v>
      </c>
      <c r="F149" t="s">
        <v>593</v>
      </c>
      <c r="G149" t="s">
        <v>594</v>
      </c>
      <c r="H149" t="s">
        <v>21</v>
      </c>
      <c r="I149" t="str">
        <f>T("0439302181")</f>
        <v>0439302181</v>
      </c>
      <c r="J149" t="str">
        <f>T("0439304613")</f>
        <v>0439304613</v>
      </c>
      <c r="K149" t="s">
        <v>595</v>
      </c>
    </row>
    <row r="150" spans="1:11">
      <c r="A150">
        <v>1918</v>
      </c>
      <c r="B150" t="s">
        <v>596</v>
      </c>
      <c r="C150" t="s">
        <v>597</v>
      </c>
      <c r="D150" t="str">
        <f>T("32036")</f>
        <v>32036</v>
      </c>
      <c r="E150" t="s">
        <v>598</v>
      </c>
      <c r="F150" t="s">
        <v>593</v>
      </c>
      <c r="G150" t="s">
        <v>594</v>
      </c>
      <c r="H150" t="s">
        <v>21</v>
      </c>
      <c r="I150" t="str">
        <f>T("0437852392")</f>
        <v>0437852392</v>
      </c>
      <c r="J150" t="str">
        <f>T("0437838547")</f>
        <v>0437838547</v>
      </c>
      <c r="K150" t="s">
        <v>599</v>
      </c>
    </row>
    <row r="151" spans="1:11">
      <c r="A151">
        <v>1919</v>
      </c>
      <c r="B151" t="s">
        <v>596</v>
      </c>
      <c r="C151" t="s">
        <v>600</v>
      </c>
      <c r="D151" t="str">
        <f>T("32100")</f>
        <v>32100</v>
      </c>
      <c r="E151" t="s">
        <v>601</v>
      </c>
      <c r="F151" t="s">
        <v>593</v>
      </c>
      <c r="G151" t="s">
        <v>594</v>
      </c>
      <c r="H151" t="s">
        <v>21</v>
      </c>
      <c r="I151" t="str">
        <f>T("0437940195")</f>
        <v>0437940195</v>
      </c>
      <c r="J151" t="str">
        <f>T("0437940195")</f>
        <v>0437940195</v>
      </c>
      <c r="K151" t="s">
        <v>602</v>
      </c>
    </row>
    <row r="152" spans="1:11">
      <c r="A152">
        <v>2021</v>
      </c>
      <c r="B152" t="s">
        <v>603</v>
      </c>
      <c r="C152" t="s">
        <v>604</v>
      </c>
      <c r="D152" t="str">
        <f>T("35010")</f>
        <v>35010</v>
      </c>
      <c r="E152" t="s">
        <v>605</v>
      </c>
      <c r="F152" t="s">
        <v>606</v>
      </c>
      <c r="G152" t="s">
        <v>594</v>
      </c>
      <c r="H152" t="s">
        <v>21</v>
      </c>
      <c r="I152" t="str">
        <f>T("0498840361")</f>
        <v>0498840361</v>
      </c>
      <c r="J152" t="str">
        <f>T("0498840362")</f>
        <v>0498840362</v>
      </c>
      <c r="K152" t="s">
        <v>607</v>
      </c>
    </row>
    <row r="153" spans="1:11">
      <c r="A153">
        <v>2023</v>
      </c>
      <c r="B153" t="s">
        <v>608</v>
      </c>
      <c r="C153" t="s">
        <v>609</v>
      </c>
      <c r="D153" t="str">
        <f>T("35043")</f>
        <v>35043</v>
      </c>
      <c r="E153" t="s">
        <v>610</v>
      </c>
      <c r="F153" t="s">
        <v>606</v>
      </c>
      <c r="G153" t="s">
        <v>594</v>
      </c>
      <c r="H153" t="s">
        <v>21</v>
      </c>
      <c r="I153" t="str">
        <f>T("0429782102")</f>
        <v>0429782102</v>
      </c>
      <c r="J153" t="str">
        <f>T("0429782102")</f>
        <v>0429782102</v>
      </c>
      <c r="K153" t="s">
        <v>611</v>
      </c>
    </row>
    <row r="154" spans="1:11">
      <c r="A154">
        <v>2028</v>
      </c>
      <c r="B154" t="s">
        <v>612</v>
      </c>
      <c r="C154" t="s">
        <v>613</v>
      </c>
      <c r="D154" t="str">
        <f>T("35031")</f>
        <v>35031</v>
      </c>
      <c r="E154" t="s">
        <v>614</v>
      </c>
      <c r="F154" t="s">
        <v>606</v>
      </c>
      <c r="G154" t="s">
        <v>594</v>
      </c>
      <c r="H154" t="s">
        <v>21</v>
      </c>
      <c r="I154" t="str">
        <f>T("0498600392")</f>
        <v>0498600392</v>
      </c>
      <c r="J154" t="str">
        <f>T("0498600392")</f>
        <v>0498600392</v>
      </c>
      <c r="K154" t="s">
        <v>615</v>
      </c>
    </row>
    <row r="155" spans="1:11">
      <c r="A155">
        <v>2045</v>
      </c>
      <c r="B155" t="s">
        <v>616</v>
      </c>
      <c r="C155" t="s">
        <v>617</v>
      </c>
      <c r="D155" t="str">
        <f>T("35121")</f>
        <v>35121</v>
      </c>
      <c r="E155" t="s">
        <v>618</v>
      </c>
      <c r="F155" t="s">
        <v>606</v>
      </c>
      <c r="G155" t="s">
        <v>594</v>
      </c>
      <c r="H155" t="s">
        <v>21</v>
      </c>
      <c r="I155" t="str">
        <f>T("0498760690")</f>
        <v>0498760690</v>
      </c>
      <c r="J155" t="str">
        <f>T("0498760690")</f>
        <v>0498760690</v>
      </c>
      <c r="K155" t="s">
        <v>619</v>
      </c>
    </row>
    <row r="156" spans="1:11">
      <c r="A156">
        <v>2047</v>
      </c>
      <c r="B156" t="s">
        <v>620</v>
      </c>
      <c r="C156" t="s">
        <v>621</v>
      </c>
      <c r="D156" t="str">
        <f>T("35042")</f>
        <v>35042</v>
      </c>
      <c r="E156" t="s">
        <v>622</v>
      </c>
      <c r="F156" t="s">
        <v>606</v>
      </c>
      <c r="G156" t="s">
        <v>594</v>
      </c>
      <c r="H156" t="s">
        <v>21</v>
      </c>
      <c r="I156" t="str">
        <f>T("04293864")</f>
        <v>04293864</v>
      </c>
      <c r="J156" t="str">
        <f>T("04291960248")</f>
        <v>04291960248</v>
      </c>
      <c r="K156" t="s">
        <v>623</v>
      </c>
    </row>
    <row r="157" spans="1:11">
      <c r="A157">
        <v>2048</v>
      </c>
      <c r="B157" t="s">
        <v>624</v>
      </c>
      <c r="C157" t="s">
        <v>625</v>
      </c>
      <c r="D157" t="str">
        <f>T("35129")</f>
        <v>35129</v>
      </c>
      <c r="E157" t="s">
        <v>618</v>
      </c>
      <c r="F157" t="s">
        <v>606</v>
      </c>
      <c r="G157" t="s">
        <v>594</v>
      </c>
      <c r="H157" t="s">
        <v>21</v>
      </c>
      <c r="I157" t="str">
        <f>T("0497350819")</f>
        <v>0497350819</v>
      </c>
      <c r="J157" t="str">
        <f>T("0497350847")</f>
        <v>0497350847</v>
      </c>
      <c r="K157" t="s">
        <v>626</v>
      </c>
    </row>
    <row r="158" spans="1:11">
      <c r="A158">
        <v>2049</v>
      </c>
      <c r="B158" t="s">
        <v>624</v>
      </c>
      <c r="C158" t="s">
        <v>627</v>
      </c>
      <c r="D158" t="str">
        <f>T("35011")</f>
        <v>35011</v>
      </c>
      <c r="E158" t="s">
        <v>628</v>
      </c>
      <c r="F158" t="s">
        <v>606</v>
      </c>
      <c r="G158" t="s">
        <v>594</v>
      </c>
      <c r="H158" t="s">
        <v>21</v>
      </c>
      <c r="I158" t="str">
        <f>T("0499200705")</f>
        <v>0499200705</v>
      </c>
      <c r="J158" t="str">
        <f>T("0499200704")</f>
        <v>0499200704</v>
      </c>
      <c r="K158" t="s">
        <v>629</v>
      </c>
    </row>
    <row r="159" spans="1:11">
      <c r="A159">
        <v>2050</v>
      </c>
      <c r="B159" t="s">
        <v>624</v>
      </c>
      <c r="C159" t="s">
        <v>630</v>
      </c>
      <c r="D159" t="str">
        <f>T("35012")</f>
        <v>35012</v>
      </c>
      <c r="E159" t="s">
        <v>631</v>
      </c>
      <c r="F159" t="s">
        <v>606</v>
      </c>
      <c r="G159" t="s">
        <v>594</v>
      </c>
      <c r="H159" t="s">
        <v>21</v>
      </c>
      <c r="I159" t="str">
        <f>T("0497381490")</f>
        <v>0497381490</v>
      </c>
      <c r="J159" t="str">
        <f>T("0497381491")</f>
        <v>0497381491</v>
      </c>
      <c r="K159" t="s">
        <v>632</v>
      </c>
    </row>
    <row r="160" spans="1:11">
      <c r="A160">
        <v>2051</v>
      </c>
      <c r="B160" t="s">
        <v>633</v>
      </c>
      <c r="C160" t="s">
        <v>634</v>
      </c>
      <c r="D160" t="str">
        <f>T("35044")</f>
        <v>35044</v>
      </c>
      <c r="E160" t="s">
        <v>635</v>
      </c>
      <c r="F160" t="s">
        <v>606</v>
      </c>
      <c r="G160" t="s">
        <v>594</v>
      </c>
      <c r="H160" t="s">
        <v>21</v>
      </c>
      <c r="I160" t="str">
        <f>T("042981288")</f>
        <v>042981288</v>
      </c>
      <c r="J160" t="str">
        <f>T("042981288")</f>
        <v>042981288</v>
      </c>
      <c r="K160" t="s">
        <v>636</v>
      </c>
    </row>
    <row r="161" spans="1:11">
      <c r="A161">
        <v>2052</v>
      </c>
      <c r="B161" t="s">
        <v>637</v>
      </c>
      <c r="C161" t="s">
        <v>638</v>
      </c>
      <c r="D161" t="str">
        <f>T("35040")</f>
        <v>35040</v>
      </c>
      <c r="E161" t="s">
        <v>639</v>
      </c>
      <c r="F161" t="s">
        <v>606</v>
      </c>
      <c r="G161" t="s">
        <v>594</v>
      </c>
      <c r="H161" t="s">
        <v>21</v>
      </c>
      <c r="I161" t="str">
        <f>T("920601020")</f>
        <v>920601020</v>
      </c>
      <c r="J161" t="str">
        <f>T("920601020")</f>
        <v>920601020</v>
      </c>
      <c r="K161" t="s">
        <v>640</v>
      </c>
    </row>
    <row r="162" spans="1:11">
      <c r="A162">
        <v>2053</v>
      </c>
      <c r="B162" t="s">
        <v>641</v>
      </c>
      <c r="C162" t="s">
        <v>642</v>
      </c>
      <c r="D162" t="str">
        <f>T("35020")</f>
        <v>35020</v>
      </c>
      <c r="E162" t="s">
        <v>643</v>
      </c>
      <c r="F162" t="s">
        <v>606</v>
      </c>
      <c r="G162" t="s">
        <v>594</v>
      </c>
      <c r="H162" t="s">
        <v>21</v>
      </c>
      <c r="I162" t="str">
        <f>T("0496893210")</f>
        <v>0496893210</v>
      </c>
      <c r="J162" t="str">
        <f>T("0496893210")</f>
        <v>0496893210</v>
      </c>
      <c r="K162" t="s">
        <v>644</v>
      </c>
    </row>
    <row r="163" spans="1:11">
      <c r="A163">
        <v>2128</v>
      </c>
      <c r="B163" t="s">
        <v>645</v>
      </c>
      <c r="C163" t="s">
        <v>646</v>
      </c>
      <c r="D163" t="str">
        <f>T("45011")</f>
        <v>45011</v>
      </c>
      <c r="E163" t="s">
        <v>647</v>
      </c>
      <c r="F163" t="s">
        <v>648</v>
      </c>
      <c r="G163" t="s">
        <v>594</v>
      </c>
      <c r="H163" t="s">
        <v>21</v>
      </c>
      <c r="I163" t="str">
        <f>T("042622232")</f>
        <v>042622232</v>
      </c>
      <c r="J163" t="str">
        <f>T("042622232")</f>
        <v>042622232</v>
      </c>
      <c r="K163" t="s">
        <v>649</v>
      </c>
    </row>
    <row r="164" spans="1:11">
      <c r="A164">
        <v>2129</v>
      </c>
      <c r="B164" t="s">
        <v>608</v>
      </c>
      <c r="C164" t="s">
        <v>650</v>
      </c>
      <c r="D164" t="str">
        <f>T("45100")</f>
        <v>45100</v>
      </c>
      <c r="E164" t="s">
        <v>651</v>
      </c>
      <c r="F164" t="s">
        <v>648</v>
      </c>
      <c r="G164" t="s">
        <v>594</v>
      </c>
      <c r="H164" t="s">
        <v>21</v>
      </c>
      <c r="I164" t="str">
        <f>T("0425422679")</f>
        <v>0425422679</v>
      </c>
      <c r="J164" t="str">
        <f>T("0429782102")</f>
        <v>0429782102</v>
      </c>
      <c r="K164" t="s">
        <v>652</v>
      </c>
    </row>
    <row r="165" spans="1:11">
      <c r="A165">
        <v>2215</v>
      </c>
      <c r="B165" t="s">
        <v>653</v>
      </c>
      <c r="C165" t="s">
        <v>654</v>
      </c>
      <c r="D165" t="str">
        <f>T("31015")</f>
        <v>31015</v>
      </c>
      <c r="E165" t="s">
        <v>655</v>
      </c>
      <c r="F165" t="s">
        <v>656</v>
      </c>
      <c r="G165" t="s">
        <v>594</v>
      </c>
      <c r="H165" t="s">
        <v>21</v>
      </c>
      <c r="I165" t="str">
        <f>T("043862343")</f>
        <v>043862343</v>
      </c>
      <c r="J165" t="str">
        <f>T("043862343")</f>
        <v>043862343</v>
      </c>
      <c r="K165" t="s">
        <v>657</v>
      </c>
    </row>
    <row r="166" spans="1:11">
      <c r="A166">
        <v>2216</v>
      </c>
      <c r="B166" t="s">
        <v>658</v>
      </c>
      <c r="C166" t="s">
        <v>659</v>
      </c>
      <c r="D166" t="str">
        <f>T("31046")</f>
        <v>31046</v>
      </c>
      <c r="E166" t="s">
        <v>660</v>
      </c>
      <c r="F166" t="s">
        <v>656</v>
      </c>
      <c r="G166" t="s">
        <v>594</v>
      </c>
      <c r="H166" t="s">
        <v>21</v>
      </c>
      <c r="I166" t="str">
        <f>T("0422815414")</f>
        <v>0422815414</v>
      </c>
      <c r="J166" t="str">
        <f>T("0422716406")</f>
        <v>0422716406</v>
      </c>
      <c r="K166" t="s">
        <v>661</v>
      </c>
    </row>
    <row r="167" spans="1:11">
      <c r="A167">
        <v>2218</v>
      </c>
      <c r="B167" t="s">
        <v>662</v>
      </c>
      <c r="C167" t="s">
        <v>663</v>
      </c>
      <c r="D167" t="str">
        <f>T("31045")</f>
        <v>31045</v>
      </c>
      <c r="E167" t="s">
        <v>664</v>
      </c>
      <c r="F167" t="s">
        <v>656</v>
      </c>
      <c r="G167" t="s">
        <v>594</v>
      </c>
      <c r="H167" t="s">
        <v>21</v>
      </c>
      <c r="I167" t="str">
        <f>T("0422768010")</f>
        <v>0422768010</v>
      </c>
      <c r="J167" t="str">
        <f>T("0422861865")</f>
        <v>0422861865</v>
      </c>
      <c r="K167" t="s">
        <v>665</v>
      </c>
    </row>
    <row r="168" spans="1:11">
      <c r="A168">
        <v>2220</v>
      </c>
      <c r="B168" t="s">
        <v>666</v>
      </c>
      <c r="C168" t="s">
        <v>667</v>
      </c>
      <c r="D168" t="str">
        <f>T("31053")</f>
        <v>31053</v>
      </c>
      <c r="E168" t="s">
        <v>668</v>
      </c>
      <c r="F168" t="s">
        <v>656</v>
      </c>
      <c r="G168" t="s">
        <v>594</v>
      </c>
      <c r="H168" t="s">
        <v>21</v>
      </c>
      <c r="I168" t="str">
        <f>T("0438842384")</f>
        <v>0438842384</v>
      </c>
      <c r="J168" t="str">
        <f>T("0438842384")</f>
        <v>0438842384</v>
      </c>
      <c r="K168" t="s">
        <v>657</v>
      </c>
    </row>
    <row r="169" spans="1:11">
      <c r="A169">
        <v>2221</v>
      </c>
      <c r="B169" t="s">
        <v>669</v>
      </c>
      <c r="C169" t="s">
        <v>670</v>
      </c>
      <c r="D169" t="str">
        <f>T("31021")</f>
        <v>31021</v>
      </c>
      <c r="E169" t="s">
        <v>671</v>
      </c>
      <c r="F169" t="s">
        <v>656</v>
      </c>
      <c r="G169" t="s">
        <v>594</v>
      </c>
      <c r="H169" t="s">
        <v>21</v>
      </c>
      <c r="I169" t="str">
        <f>T("0415901027")</f>
        <v>0415901027</v>
      </c>
      <c r="J169" t="str">
        <f>T("0415904700")</f>
        <v>0415904700</v>
      </c>
      <c r="K169" t="s">
        <v>672</v>
      </c>
    </row>
    <row r="170" spans="1:11">
      <c r="A170">
        <v>2224</v>
      </c>
      <c r="B170" t="s">
        <v>673</v>
      </c>
      <c r="C170" t="s">
        <v>674</v>
      </c>
      <c r="D170" t="str">
        <f>T("31100")</f>
        <v>31100</v>
      </c>
      <c r="E170" t="s">
        <v>675</v>
      </c>
      <c r="F170" t="s">
        <v>656</v>
      </c>
      <c r="G170" t="s">
        <v>594</v>
      </c>
      <c r="H170" t="s">
        <v>21</v>
      </c>
      <c r="I170" t="str">
        <f>T("0422411440")</f>
        <v>0422411440</v>
      </c>
      <c r="J170" t="str">
        <f>T("0422411496")</f>
        <v>0422411496</v>
      </c>
      <c r="K170" t="s">
        <v>676</v>
      </c>
    </row>
    <row r="171" spans="1:11">
      <c r="A171">
        <v>2226</v>
      </c>
      <c r="B171" t="s">
        <v>673</v>
      </c>
      <c r="C171" t="s">
        <v>677</v>
      </c>
      <c r="D171" t="str">
        <f>T("31038")</f>
        <v>31038</v>
      </c>
      <c r="E171" t="s">
        <v>678</v>
      </c>
      <c r="F171" t="s">
        <v>656</v>
      </c>
      <c r="G171" t="s">
        <v>594</v>
      </c>
      <c r="H171" t="s">
        <v>21</v>
      </c>
      <c r="I171" t="str">
        <f>T("0422451801")</f>
        <v>0422451801</v>
      </c>
      <c r="J171" t="str">
        <f>T("0422451802")</f>
        <v>0422451802</v>
      </c>
      <c r="K171" t="s">
        <v>676</v>
      </c>
    </row>
    <row r="172" spans="1:11">
      <c r="A172">
        <v>2230</v>
      </c>
      <c r="B172" t="s">
        <v>679</v>
      </c>
      <c r="C172" t="s">
        <v>680</v>
      </c>
      <c r="D172" t="str">
        <f>T("31033")</f>
        <v>31033</v>
      </c>
      <c r="E172" t="s">
        <v>681</v>
      </c>
      <c r="F172" t="s">
        <v>656</v>
      </c>
      <c r="G172" t="s">
        <v>594</v>
      </c>
      <c r="H172" t="s">
        <v>21</v>
      </c>
      <c r="I172" t="str">
        <f>T("0423720640")</f>
        <v>0423720640</v>
      </c>
      <c r="J172" t="str">
        <f>T("0423724377")</f>
        <v>0423724377</v>
      </c>
      <c r="K172" t="s">
        <v>682</v>
      </c>
    </row>
    <row r="173" spans="1:11">
      <c r="A173">
        <v>2232</v>
      </c>
      <c r="B173" t="s">
        <v>683</v>
      </c>
      <c r="C173" t="s">
        <v>684</v>
      </c>
      <c r="D173" t="str">
        <f>T("31044")</f>
        <v>31044</v>
      </c>
      <c r="E173" t="s">
        <v>685</v>
      </c>
      <c r="F173" t="s">
        <v>656</v>
      </c>
      <c r="G173" t="s">
        <v>594</v>
      </c>
      <c r="H173" t="s">
        <v>21</v>
      </c>
      <c r="I173" t="str">
        <f>T("042322387")</f>
        <v>042322387</v>
      </c>
      <c r="J173" t="str">
        <f>T("0423248085")</f>
        <v>0423248085</v>
      </c>
      <c r="K173" t="s">
        <v>686</v>
      </c>
    </row>
    <row r="174" spans="1:11">
      <c r="A174">
        <v>2233</v>
      </c>
      <c r="B174" t="s">
        <v>687</v>
      </c>
      <c r="C174" t="s">
        <v>688</v>
      </c>
      <c r="D174" t="str">
        <f>T("31029")</f>
        <v>31029</v>
      </c>
      <c r="E174" t="s">
        <v>689</v>
      </c>
      <c r="F174" t="s">
        <v>656</v>
      </c>
      <c r="G174" t="s">
        <v>594</v>
      </c>
      <c r="H174" t="s">
        <v>21</v>
      </c>
      <c r="I174" t="str">
        <f>T("0438553804")</f>
        <v>0438553804</v>
      </c>
      <c r="J174" t="str">
        <f>T("0438943694")</f>
        <v>0438943694</v>
      </c>
      <c r="K174" t="s">
        <v>690</v>
      </c>
    </row>
    <row r="175" spans="1:11">
      <c r="A175">
        <v>2234</v>
      </c>
      <c r="B175" t="s">
        <v>596</v>
      </c>
      <c r="C175" t="s">
        <v>691</v>
      </c>
      <c r="D175" t="str">
        <f>T("31058")</f>
        <v>31058</v>
      </c>
      <c r="E175" t="s">
        <v>692</v>
      </c>
      <c r="F175" t="s">
        <v>656</v>
      </c>
      <c r="G175" t="s">
        <v>594</v>
      </c>
      <c r="H175" t="s">
        <v>21</v>
      </c>
      <c r="I175" t="str">
        <f>T("0438450487")</f>
        <v>0438450487</v>
      </c>
      <c r="J175" t="str">
        <f>T("0438450817")</f>
        <v>0438450817</v>
      </c>
      <c r="K175" t="s">
        <v>693</v>
      </c>
    </row>
    <row r="176" spans="1:11">
      <c r="A176">
        <v>2237</v>
      </c>
      <c r="B176" t="s">
        <v>694</v>
      </c>
      <c r="C176" t="s">
        <v>695</v>
      </c>
      <c r="D176" t="str">
        <f>T("31056")</f>
        <v>31056</v>
      </c>
      <c r="E176" t="s">
        <v>696</v>
      </c>
      <c r="F176" t="s">
        <v>656</v>
      </c>
      <c r="G176" t="s">
        <v>594</v>
      </c>
      <c r="H176" t="s">
        <v>21</v>
      </c>
      <c r="I176" t="str">
        <f>T("0422707042")</f>
        <v>0422707042</v>
      </c>
      <c r="J176" t="str">
        <f>T("042144454")</f>
        <v>042144454</v>
      </c>
      <c r="K176" t="s">
        <v>697</v>
      </c>
    </row>
    <row r="177" spans="1:11">
      <c r="A177">
        <v>2238</v>
      </c>
      <c r="B177" t="s">
        <v>624</v>
      </c>
      <c r="C177" t="s">
        <v>698</v>
      </c>
      <c r="D177" t="str">
        <f>T("31048")</f>
        <v>31048</v>
      </c>
      <c r="E177" t="s">
        <v>699</v>
      </c>
      <c r="F177" t="s">
        <v>656</v>
      </c>
      <c r="G177" t="s">
        <v>594</v>
      </c>
      <c r="H177" t="s">
        <v>21</v>
      </c>
      <c r="I177" t="str">
        <f>T("437858371")</f>
        <v>437858371</v>
      </c>
      <c r="J177" t="str">
        <f>T("422893735")</f>
        <v>422893735</v>
      </c>
      <c r="K177" t="s">
        <v>700</v>
      </c>
    </row>
    <row r="178" spans="1:11">
      <c r="A178">
        <v>2322</v>
      </c>
      <c r="B178" t="s">
        <v>701</v>
      </c>
      <c r="C178" t="s">
        <v>702</v>
      </c>
      <c r="D178" t="str">
        <f>T("30015")</f>
        <v>30015</v>
      </c>
      <c r="E178" t="s">
        <v>703</v>
      </c>
      <c r="F178" t="s">
        <v>704</v>
      </c>
      <c r="G178" t="s">
        <v>594</v>
      </c>
      <c r="H178" t="s">
        <v>21</v>
      </c>
      <c r="I178" t="str">
        <f>T("398998413")</f>
        <v>398998413</v>
      </c>
      <c r="J178" t="str">
        <f>T("041490548")</f>
        <v>041490548</v>
      </c>
      <c r="K178" t="s">
        <v>705</v>
      </c>
    </row>
    <row r="179" spans="1:11">
      <c r="A179">
        <v>2324</v>
      </c>
      <c r="B179" t="s">
        <v>706</v>
      </c>
      <c r="C179" t="s">
        <v>707</v>
      </c>
      <c r="D179" t="str">
        <f>T("30121")</f>
        <v>30121</v>
      </c>
      <c r="E179" t="s">
        <v>708</v>
      </c>
      <c r="F179" t="s">
        <v>704</v>
      </c>
      <c r="G179" t="s">
        <v>594</v>
      </c>
      <c r="H179" t="s">
        <v>21</v>
      </c>
      <c r="I179" t="str">
        <f>T("0415223334")</f>
        <v>0415223334</v>
      </c>
      <c r="J179" t="str">
        <f>T("0415286556")</f>
        <v>0415286556</v>
      </c>
      <c r="K179" t="s">
        <v>709</v>
      </c>
    </row>
    <row r="180" spans="1:11">
      <c r="A180">
        <v>2326</v>
      </c>
      <c r="B180" t="s">
        <v>710</v>
      </c>
      <c r="C180" t="s">
        <v>711</v>
      </c>
      <c r="D180" t="str">
        <f>T("30026")</f>
        <v>30026</v>
      </c>
      <c r="E180" t="s">
        <v>712</v>
      </c>
      <c r="F180" t="s">
        <v>704</v>
      </c>
      <c r="G180" t="s">
        <v>594</v>
      </c>
      <c r="H180" t="s">
        <v>21</v>
      </c>
      <c r="I180" t="str">
        <f>T("0421273596")</f>
        <v>0421273596</v>
      </c>
      <c r="J180" t="str">
        <f>T("0421390686")</f>
        <v>0421390686</v>
      </c>
      <c r="K180" t="s">
        <v>713</v>
      </c>
    </row>
    <row r="181" spans="1:11">
      <c r="A181">
        <v>2331</v>
      </c>
      <c r="B181" t="s">
        <v>714</v>
      </c>
      <c r="C181" t="s">
        <v>715</v>
      </c>
      <c r="D181" t="str">
        <f>T("30038")</f>
        <v>30038</v>
      </c>
      <c r="E181" t="s">
        <v>716</v>
      </c>
      <c r="F181" t="s">
        <v>704</v>
      </c>
      <c r="G181" t="s">
        <v>594</v>
      </c>
      <c r="H181" t="s">
        <v>21</v>
      </c>
      <c r="I181" t="str">
        <f>T("041997961")</f>
        <v>041997961</v>
      </c>
      <c r="J181" t="str">
        <f>T("041997961")</f>
        <v>041997961</v>
      </c>
      <c r="K181" t="s">
        <v>717</v>
      </c>
    </row>
    <row r="182" spans="1:11">
      <c r="A182">
        <v>2336</v>
      </c>
      <c r="B182" t="s">
        <v>718</v>
      </c>
      <c r="C182" t="s">
        <v>719</v>
      </c>
      <c r="D182" t="str">
        <f>T("30035")</f>
        <v>30035</v>
      </c>
      <c r="E182" t="s">
        <v>720</v>
      </c>
      <c r="F182" t="s">
        <v>704</v>
      </c>
      <c r="G182" t="s">
        <v>594</v>
      </c>
      <c r="H182" t="s">
        <v>21</v>
      </c>
      <c r="I182" t="str">
        <f>T("041430355")</f>
        <v>041430355</v>
      </c>
      <c r="J182" t="str">
        <f>T("0415725447")</f>
        <v>0415725447</v>
      </c>
      <c r="K182" t="s">
        <v>721</v>
      </c>
    </row>
    <row r="183" spans="1:11">
      <c r="A183">
        <v>2338</v>
      </c>
      <c r="B183" t="s">
        <v>722</v>
      </c>
      <c r="C183" t="s">
        <v>723</v>
      </c>
      <c r="D183" t="str">
        <f>T("30015")</f>
        <v>30015</v>
      </c>
      <c r="E183" t="s">
        <v>724</v>
      </c>
      <c r="F183" t="s">
        <v>704</v>
      </c>
      <c r="G183" t="s">
        <v>594</v>
      </c>
      <c r="H183" t="s">
        <v>21</v>
      </c>
      <c r="I183" t="str">
        <f>T("0415543160")</f>
        <v>0415543160</v>
      </c>
      <c r="J183" t="str">
        <f>T("0415540932")</f>
        <v>0415540932</v>
      </c>
      <c r="K183" t="s">
        <v>725</v>
      </c>
    </row>
    <row r="184" spans="1:11">
      <c r="A184">
        <v>2341</v>
      </c>
      <c r="B184" t="s">
        <v>726</v>
      </c>
      <c r="C184" t="s">
        <v>727</v>
      </c>
      <c r="D184" t="str">
        <f>T("30016")</f>
        <v>30016</v>
      </c>
      <c r="E184" t="s">
        <v>728</v>
      </c>
      <c r="F184" t="s">
        <v>704</v>
      </c>
      <c r="G184" t="s">
        <v>594</v>
      </c>
      <c r="H184" t="s">
        <v>21</v>
      </c>
      <c r="I184" t="str">
        <f>T("042192226")</f>
        <v>042192226</v>
      </c>
      <c r="J184" t="str">
        <f>T("0421380241")</f>
        <v>0421380241</v>
      </c>
      <c r="K184" t="s">
        <v>729</v>
      </c>
    </row>
    <row r="185" spans="1:11">
      <c r="A185">
        <v>2343</v>
      </c>
      <c r="B185" t="s">
        <v>730</v>
      </c>
      <c r="C185" t="s">
        <v>731</v>
      </c>
      <c r="D185" t="str">
        <f>T("30027")</f>
        <v>30027</v>
      </c>
      <c r="E185" t="s">
        <v>732</v>
      </c>
      <c r="F185" t="s">
        <v>704</v>
      </c>
      <c r="G185" t="s">
        <v>594</v>
      </c>
      <c r="H185" t="s">
        <v>21</v>
      </c>
      <c r="I185" t="str">
        <f>T("042153890")</f>
        <v>042153890</v>
      </c>
      <c r="J185" t="str">
        <f>T("0421330641")</f>
        <v>0421330641</v>
      </c>
      <c r="K185" t="s">
        <v>733</v>
      </c>
    </row>
    <row r="186" spans="1:11">
      <c r="A186">
        <v>2344</v>
      </c>
      <c r="B186" t="s">
        <v>734</v>
      </c>
      <c r="C186" t="s">
        <v>735</v>
      </c>
      <c r="D186" t="str">
        <f>T("30171")</f>
        <v>30171</v>
      </c>
      <c r="E186" t="s">
        <v>736</v>
      </c>
      <c r="F186" t="s">
        <v>704</v>
      </c>
      <c r="G186" t="s">
        <v>594</v>
      </c>
      <c r="H186" t="s">
        <v>21</v>
      </c>
      <c r="I186" t="str">
        <f>T("0415054596")</f>
        <v>0415054596</v>
      </c>
      <c r="J186" t="str">
        <f>T("041974995")</f>
        <v>041974995</v>
      </c>
      <c r="K186" t="s">
        <v>737</v>
      </c>
    </row>
    <row r="187" spans="1:11">
      <c r="A187">
        <v>2346</v>
      </c>
      <c r="B187" t="s">
        <v>624</v>
      </c>
      <c r="C187" t="s">
        <v>738</v>
      </c>
      <c r="D187" t="str">
        <f>T("30037")</f>
        <v>30037</v>
      </c>
      <c r="E187" t="s">
        <v>739</v>
      </c>
      <c r="F187" t="s">
        <v>704</v>
      </c>
      <c r="G187" t="s">
        <v>594</v>
      </c>
      <c r="H187" t="s">
        <v>21</v>
      </c>
      <c r="I187" t="str">
        <f>T("041447486")</f>
        <v>041447486</v>
      </c>
      <c r="J187" t="str">
        <f>T("0412670054")</f>
        <v>0412670054</v>
      </c>
      <c r="K187" t="s">
        <v>740</v>
      </c>
    </row>
    <row r="188" spans="1:11">
      <c r="A188">
        <v>2414</v>
      </c>
      <c r="B188" t="s">
        <v>741</v>
      </c>
      <c r="C188" t="s">
        <v>742</v>
      </c>
      <c r="D188" t="str">
        <f>T("37045")</f>
        <v>37045</v>
      </c>
      <c r="E188" t="s">
        <v>743</v>
      </c>
      <c r="F188" t="s">
        <v>744</v>
      </c>
      <c r="G188" t="s">
        <v>594</v>
      </c>
      <c r="H188" t="s">
        <v>16</v>
      </c>
      <c r="I188" t="str">
        <f>T("044223611")</f>
        <v>044223611</v>
      </c>
      <c r="J188" t="str">
        <f>T("0442644113")</f>
        <v>0442644113</v>
      </c>
      <c r="K188" t="s">
        <v>745</v>
      </c>
    </row>
    <row r="189" spans="1:11">
      <c r="A189">
        <v>2418</v>
      </c>
      <c r="B189" t="s">
        <v>746</v>
      </c>
      <c r="C189" t="s">
        <v>747</v>
      </c>
      <c r="D189" t="str">
        <f>T("37069")</f>
        <v>37069</v>
      </c>
      <c r="E189" t="s">
        <v>748</v>
      </c>
      <c r="F189" t="s">
        <v>744</v>
      </c>
      <c r="G189" t="s">
        <v>594</v>
      </c>
      <c r="H189" t="s">
        <v>16</v>
      </c>
      <c r="I189" t="str">
        <f>T("0456300428")</f>
        <v>0456300428</v>
      </c>
      <c r="J189" t="str">
        <f>T("0456300325")</f>
        <v>0456300325</v>
      </c>
      <c r="K189" t="s">
        <v>749</v>
      </c>
    </row>
    <row r="190" spans="1:11">
      <c r="A190">
        <v>2421</v>
      </c>
      <c r="B190" t="s">
        <v>750</v>
      </c>
      <c r="C190" t="s">
        <v>751</v>
      </c>
      <c r="D190" t="str">
        <f>T("37122")</f>
        <v>37122</v>
      </c>
      <c r="E190" t="s">
        <v>752</v>
      </c>
      <c r="F190" t="s">
        <v>744</v>
      </c>
      <c r="G190" t="s">
        <v>594</v>
      </c>
      <c r="H190" t="s">
        <v>16</v>
      </c>
      <c r="I190" t="str">
        <f>T("0458010723")</f>
        <v>0458010723</v>
      </c>
      <c r="J190" t="str">
        <f>T("")</f>
        <v/>
      </c>
      <c r="K190" t="s">
        <v>753</v>
      </c>
    </row>
    <row r="191" spans="1:11">
      <c r="A191">
        <v>2431</v>
      </c>
      <c r="B191" t="s">
        <v>754</v>
      </c>
      <c r="C191" t="s">
        <v>755</v>
      </c>
      <c r="D191" t="str">
        <f>T("37019")</f>
        <v>37019</v>
      </c>
      <c r="E191" t="s">
        <v>756</v>
      </c>
      <c r="F191" t="s">
        <v>744</v>
      </c>
      <c r="G191" t="s">
        <v>594</v>
      </c>
      <c r="H191" t="s">
        <v>16</v>
      </c>
      <c r="I191" t="str">
        <f>T("0456401645")</f>
        <v>0456401645</v>
      </c>
      <c r="J191" t="str">
        <f>T("0456409119")</f>
        <v>0456409119</v>
      </c>
      <c r="K191" t="s">
        <v>757</v>
      </c>
    </row>
    <row r="192" spans="1:11">
      <c r="A192">
        <v>2436</v>
      </c>
      <c r="B192" t="s">
        <v>758</v>
      </c>
      <c r="C192" t="s">
        <v>759</v>
      </c>
      <c r="D192" t="str">
        <f>T("37057")</f>
        <v>37057</v>
      </c>
      <c r="E192" t="s">
        <v>760</v>
      </c>
      <c r="F192" t="s">
        <v>744</v>
      </c>
      <c r="G192" t="s">
        <v>594</v>
      </c>
      <c r="H192" t="s">
        <v>16</v>
      </c>
      <c r="I192" t="str">
        <f>T("045545003")</f>
        <v>045545003</v>
      </c>
      <c r="J192" t="str">
        <f>T("045548945")</f>
        <v>045548945</v>
      </c>
      <c r="K192" t="s">
        <v>761</v>
      </c>
    </row>
    <row r="193" spans="1:11">
      <c r="A193">
        <v>2438</v>
      </c>
      <c r="B193" t="s">
        <v>762</v>
      </c>
      <c r="C193" t="s">
        <v>763</v>
      </c>
      <c r="D193" t="str">
        <f>T("37135")</f>
        <v>37135</v>
      </c>
      <c r="E193" t="s">
        <v>752</v>
      </c>
      <c r="F193" t="s">
        <v>744</v>
      </c>
      <c r="G193" t="s">
        <v>594</v>
      </c>
      <c r="H193" t="s">
        <v>16</v>
      </c>
      <c r="I193" t="str">
        <f>T("0458101541")</f>
        <v>0458101541</v>
      </c>
      <c r="J193" t="str">
        <f>T("045918155")</f>
        <v>045918155</v>
      </c>
      <c r="K193" t="s">
        <v>764</v>
      </c>
    </row>
    <row r="194" spans="1:11">
      <c r="A194">
        <v>2441</v>
      </c>
      <c r="B194" t="s">
        <v>765</v>
      </c>
      <c r="C194" t="s">
        <v>766</v>
      </c>
      <c r="D194" t="str">
        <f>T("37024")</f>
        <v>37024</v>
      </c>
      <c r="E194" t="s">
        <v>767</v>
      </c>
      <c r="F194" t="s">
        <v>744</v>
      </c>
      <c r="G194" t="s">
        <v>594</v>
      </c>
      <c r="H194" t="s">
        <v>16</v>
      </c>
      <c r="I194" t="str">
        <f>T("0457500057")</f>
        <v>0457500057</v>
      </c>
      <c r="J194" t="str">
        <f>T("0456012432")</f>
        <v>0456012432</v>
      </c>
      <c r="K194" t="s">
        <v>768</v>
      </c>
    </row>
    <row r="195" spans="1:11">
      <c r="A195">
        <v>2443</v>
      </c>
      <c r="B195" t="s">
        <v>769</v>
      </c>
      <c r="C195" t="s">
        <v>770</v>
      </c>
      <c r="D195" t="str">
        <f>T("37047")</f>
        <v>37047</v>
      </c>
      <c r="E195" t="s">
        <v>771</v>
      </c>
      <c r="F195" t="s">
        <v>744</v>
      </c>
      <c r="G195" t="s">
        <v>594</v>
      </c>
      <c r="H195" t="s">
        <v>16</v>
      </c>
      <c r="I195" t="str">
        <f>T("0457614849")</f>
        <v>0457614849</v>
      </c>
      <c r="J195" t="str">
        <f>T("0456101730")</f>
        <v>0456101730</v>
      </c>
      <c r="K195" t="s">
        <v>772</v>
      </c>
    </row>
    <row r="196" spans="1:11">
      <c r="A196">
        <v>2444</v>
      </c>
      <c r="B196" t="s">
        <v>773</v>
      </c>
      <c r="C196" t="s">
        <v>774</v>
      </c>
      <c r="D196" t="str">
        <f>T("37011")</f>
        <v>37011</v>
      </c>
      <c r="E196" t="s">
        <v>775</v>
      </c>
      <c r="F196" t="s">
        <v>744</v>
      </c>
      <c r="G196" t="s">
        <v>594</v>
      </c>
      <c r="H196" t="s">
        <v>16</v>
      </c>
      <c r="I196" t="str">
        <f>T("0459583304")</f>
        <v>0459583304</v>
      </c>
      <c r="J196" t="str">
        <f>T("0456409119")</f>
        <v>0456409119</v>
      </c>
      <c r="K196" t="s">
        <v>757</v>
      </c>
    </row>
    <row r="197" spans="1:11">
      <c r="A197">
        <v>2445</v>
      </c>
      <c r="B197" t="s">
        <v>776</v>
      </c>
      <c r="C197" t="s">
        <v>777</v>
      </c>
      <c r="D197" t="str">
        <f>T("37122")</f>
        <v>37122</v>
      </c>
      <c r="E197" t="s">
        <v>752</v>
      </c>
      <c r="F197" t="s">
        <v>744</v>
      </c>
      <c r="G197" t="s">
        <v>594</v>
      </c>
      <c r="H197" t="s">
        <v>16</v>
      </c>
      <c r="I197" t="str">
        <f>T("045590469")</f>
        <v>045590469</v>
      </c>
      <c r="J197" t="str">
        <f>T("045590469")</f>
        <v>045590469</v>
      </c>
      <c r="K197" t="s">
        <v>778</v>
      </c>
    </row>
    <row r="198" spans="1:11">
      <c r="A198">
        <v>2501</v>
      </c>
      <c r="B198" t="s">
        <v>779</v>
      </c>
      <c r="C198" t="s">
        <v>780</v>
      </c>
      <c r="D198" t="str">
        <f>T("36070")</f>
        <v>36070</v>
      </c>
      <c r="E198" t="s">
        <v>781</v>
      </c>
      <c r="F198" t="s">
        <v>782</v>
      </c>
      <c r="G198" t="s">
        <v>594</v>
      </c>
      <c r="H198" t="s">
        <v>21</v>
      </c>
      <c r="I198" t="str">
        <f>T("0445962512")</f>
        <v>0445962512</v>
      </c>
      <c r="J198" t="str">
        <f>T("0445962512")</f>
        <v>0445962512</v>
      </c>
      <c r="K198" t="s">
        <v>783</v>
      </c>
    </row>
    <row r="199" spans="1:11">
      <c r="A199">
        <v>2520</v>
      </c>
      <c r="B199" t="s">
        <v>784</v>
      </c>
      <c r="C199" t="s">
        <v>785</v>
      </c>
      <c r="D199" t="str">
        <f>T("36078")</f>
        <v>36078</v>
      </c>
      <c r="E199" t="s">
        <v>786</v>
      </c>
      <c r="F199" t="s">
        <v>782</v>
      </c>
      <c r="G199" t="s">
        <v>594</v>
      </c>
      <c r="H199" t="s">
        <v>21</v>
      </c>
      <c r="I199" t="str">
        <f>T("0445409349")</f>
        <v>0445409349</v>
      </c>
      <c r="J199" t="str">
        <f>T("0445409349")</f>
        <v>0445409349</v>
      </c>
      <c r="K199" t="s">
        <v>787</v>
      </c>
    </row>
    <row r="200" spans="1:11">
      <c r="A200">
        <v>2521</v>
      </c>
      <c r="B200" t="s">
        <v>788</v>
      </c>
      <c r="C200" t="s">
        <v>789</v>
      </c>
      <c r="D200" t="str">
        <f>T("36025")</f>
        <v>36025</v>
      </c>
      <c r="E200" t="s">
        <v>790</v>
      </c>
      <c r="F200" t="s">
        <v>782</v>
      </c>
      <c r="G200" t="s">
        <v>594</v>
      </c>
      <c r="H200" t="s">
        <v>21</v>
      </c>
      <c r="I200" t="str">
        <f>T("0444860922")</f>
        <v>0444860922</v>
      </c>
      <c r="J200" t="str">
        <f>T("0444860922")</f>
        <v>0444860922</v>
      </c>
      <c r="K200" t="s">
        <v>791</v>
      </c>
    </row>
    <row r="201" spans="1:11">
      <c r="A201">
        <v>2538</v>
      </c>
      <c r="B201" t="s">
        <v>792</v>
      </c>
      <c r="C201" t="s">
        <v>793</v>
      </c>
      <c r="D201" t="str">
        <f>T("36071")</f>
        <v>36071</v>
      </c>
      <c r="E201" t="s">
        <v>794</v>
      </c>
      <c r="F201" t="s">
        <v>782</v>
      </c>
      <c r="G201" t="s">
        <v>594</v>
      </c>
      <c r="H201" t="s">
        <v>21</v>
      </c>
      <c r="I201" t="str">
        <f>T("0444670475")</f>
        <v>0444670475</v>
      </c>
      <c r="J201" t="str">
        <f>T("0444674090")</f>
        <v>0444674090</v>
      </c>
      <c r="K201" t="s">
        <v>795</v>
      </c>
    </row>
    <row r="202" spans="1:11">
      <c r="A202">
        <v>2551</v>
      </c>
      <c r="B202" t="s">
        <v>796</v>
      </c>
      <c r="C202" t="s">
        <v>797</v>
      </c>
      <c r="D202" t="str">
        <f>T("36022")</f>
        <v>36022</v>
      </c>
      <c r="E202" t="s">
        <v>798</v>
      </c>
      <c r="F202" t="s">
        <v>782</v>
      </c>
      <c r="G202" t="s">
        <v>594</v>
      </c>
      <c r="H202" t="s">
        <v>21</v>
      </c>
      <c r="I202" t="str">
        <f>T("0424581565")</f>
        <v>0424581565</v>
      </c>
      <c r="J202" t="str">
        <f>T("0424581565")</f>
        <v>0424581565</v>
      </c>
      <c r="K202" t="s">
        <v>799</v>
      </c>
    </row>
    <row r="203" spans="1:11">
      <c r="A203">
        <v>2553</v>
      </c>
      <c r="B203" t="s">
        <v>800</v>
      </c>
      <c r="C203" t="s">
        <v>801</v>
      </c>
      <c r="D203" t="str">
        <f>T("36063")</f>
        <v>36063</v>
      </c>
      <c r="E203" t="s">
        <v>802</v>
      </c>
      <c r="F203" t="s">
        <v>782</v>
      </c>
      <c r="G203" t="s">
        <v>594</v>
      </c>
      <c r="H203" t="s">
        <v>21</v>
      </c>
      <c r="I203" t="str">
        <f>T("0424471601")</f>
        <v>0424471601</v>
      </c>
      <c r="J203" t="str">
        <f>T("0424471601")</f>
        <v>0424471601</v>
      </c>
      <c r="K203" t="s">
        <v>803</v>
      </c>
    </row>
    <row r="204" spans="1:11">
      <c r="A204">
        <v>2556</v>
      </c>
      <c r="B204" t="s">
        <v>804</v>
      </c>
      <c r="C204" t="s">
        <v>805</v>
      </c>
      <c r="D204" t="str">
        <f>T("36100")</f>
        <v>36100</v>
      </c>
      <c r="E204" t="s">
        <v>806</v>
      </c>
      <c r="F204" t="s">
        <v>782</v>
      </c>
      <c r="G204" t="s">
        <v>594</v>
      </c>
      <c r="H204" t="s">
        <v>21</v>
      </c>
      <c r="I204" t="str">
        <f>T("0444565382")</f>
        <v>0444565382</v>
      </c>
      <c r="J204" t="str">
        <f>T("0444569740")</f>
        <v>0444569740</v>
      </c>
      <c r="K204" t="s">
        <v>807</v>
      </c>
    </row>
    <row r="205" spans="1:11">
      <c r="A205">
        <v>2557</v>
      </c>
      <c r="B205" t="s">
        <v>804</v>
      </c>
      <c r="C205" t="s">
        <v>808</v>
      </c>
      <c r="D205" t="str">
        <f>T("36100")</f>
        <v>36100</v>
      </c>
      <c r="E205" t="s">
        <v>806</v>
      </c>
      <c r="F205" t="s">
        <v>782</v>
      </c>
      <c r="G205" t="s">
        <v>594</v>
      </c>
      <c r="H205" t="s">
        <v>21</v>
      </c>
      <c r="I205" t="str">
        <f>T("0444913408")</f>
        <v>0444913408</v>
      </c>
      <c r="J205" t="str">
        <f>T("")</f>
        <v/>
      </c>
      <c r="K205" t="s">
        <v>807</v>
      </c>
    </row>
    <row r="206" spans="1:11">
      <c r="A206">
        <v>2558</v>
      </c>
      <c r="B206" t="s">
        <v>809</v>
      </c>
      <c r="C206" t="s">
        <v>810</v>
      </c>
      <c r="D206" t="str">
        <f>T("36015")</f>
        <v>36015</v>
      </c>
      <c r="E206" t="s">
        <v>811</v>
      </c>
      <c r="F206" t="s">
        <v>782</v>
      </c>
      <c r="G206" t="s">
        <v>594</v>
      </c>
      <c r="H206" t="s">
        <v>21</v>
      </c>
      <c r="I206" t="str">
        <f>T("0445671135")</f>
        <v>0445671135</v>
      </c>
      <c r="J206" t="str">
        <f>T("0445514390")</f>
        <v>0445514390</v>
      </c>
      <c r="K206" t="s">
        <v>812</v>
      </c>
    </row>
    <row r="207" spans="1:11">
      <c r="A207">
        <v>2613</v>
      </c>
      <c r="B207" t="s">
        <v>813</v>
      </c>
      <c r="C207" t="s">
        <v>814</v>
      </c>
      <c r="D207" t="str">
        <f>T("39031")</f>
        <v>39031</v>
      </c>
      <c r="E207" t="s">
        <v>815</v>
      </c>
      <c r="F207" t="s">
        <v>816</v>
      </c>
      <c r="G207" t="s">
        <v>569</v>
      </c>
      <c r="H207" t="s">
        <v>16</v>
      </c>
      <c r="I207" t="str">
        <f>T("0474530088")</f>
        <v>0474530088</v>
      </c>
      <c r="J207" t="str">
        <f>T("0474539171")</f>
        <v>0474539171</v>
      </c>
      <c r="K207" t="s">
        <v>817</v>
      </c>
    </row>
    <row r="208" spans="1:11">
      <c r="A208">
        <v>2617</v>
      </c>
      <c r="B208" t="s">
        <v>818</v>
      </c>
      <c r="C208" t="s">
        <v>819</v>
      </c>
      <c r="D208" t="str">
        <f>T("39100")</f>
        <v>39100</v>
      </c>
      <c r="E208" t="s">
        <v>820</v>
      </c>
      <c r="F208" t="s">
        <v>816</v>
      </c>
      <c r="G208" t="s">
        <v>569</v>
      </c>
      <c r="H208" t="s">
        <v>16</v>
      </c>
      <c r="I208" t="str">
        <f>T("0471262067")</f>
        <v>0471262067</v>
      </c>
      <c r="J208" t="str">
        <f>T("0471262067")</f>
        <v>0471262067</v>
      </c>
      <c r="K208" t="s">
        <v>821</v>
      </c>
    </row>
    <row r="209" spans="1:11">
      <c r="A209">
        <v>2717</v>
      </c>
      <c r="B209" t="s">
        <v>822</v>
      </c>
      <c r="C209" t="s">
        <v>823</v>
      </c>
      <c r="D209" t="str">
        <f>T("34170")</f>
        <v>34170</v>
      </c>
      <c r="E209" t="s">
        <v>824</v>
      </c>
      <c r="F209" t="s">
        <v>825</v>
      </c>
      <c r="G209" t="s">
        <v>826</v>
      </c>
      <c r="H209" t="s">
        <v>21</v>
      </c>
      <c r="I209" t="str">
        <f>T("048181831")</f>
        <v>048181831</v>
      </c>
      <c r="J209" t="str">
        <f>T("0481548073")</f>
        <v>0481548073</v>
      </c>
      <c r="K209" t="s">
        <v>827</v>
      </c>
    </row>
    <row r="210" spans="1:11">
      <c r="A210">
        <v>2720</v>
      </c>
      <c r="B210" t="s">
        <v>828</v>
      </c>
      <c r="C210" t="s">
        <v>829</v>
      </c>
      <c r="D210" t="str">
        <f>T("34125")</f>
        <v>34125</v>
      </c>
      <c r="E210" t="s">
        <v>830</v>
      </c>
      <c r="F210" t="s">
        <v>831</v>
      </c>
      <c r="G210" t="s">
        <v>826</v>
      </c>
      <c r="H210" t="s">
        <v>21</v>
      </c>
      <c r="I210" t="str">
        <f>T("040771088")</f>
        <v>040771088</v>
      </c>
      <c r="J210" t="str">
        <f>T("0403474685")</f>
        <v>0403474685</v>
      </c>
      <c r="K210" t="s">
        <v>832</v>
      </c>
    </row>
    <row r="211" spans="1:11">
      <c r="A211">
        <v>2721</v>
      </c>
      <c r="B211" t="s">
        <v>828</v>
      </c>
      <c r="C211" t="s">
        <v>833</v>
      </c>
      <c r="D211" t="str">
        <f>T("34121")</f>
        <v>34121</v>
      </c>
      <c r="E211" t="s">
        <v>830</v>
      </c>
      <c r="F211" t="s">
        <v>831</v>
      </c>
      <c r="G211" t="s">
        <v>826</v>
      </c>
      <c r="H211" t="s">
        <v>21</v>
      </c>
      <c r="I211" t="str">
        <f>T("040633740")</f>
        <v>040633740</v>
      </c>
      <c r="J211" t="str">
        <f>T("0403479007")</f>
        <v>0403479007</v>
      </c>
      <c r="K211" t="s">
        <v>834</v>
      </c>
    </row>
    <row r="212" spans="1:11">
      <c r="A212">
        <v>2722</v>
      </c>
      <c r="B212" t="s">
        <v>828</v>
      </c>
      <c r="C212" t="s">
        <v>835</v>
      </c>
      <c r="D212" t="str">
        <f>T("34074")</f>
        <v>34074</v>
      </c>
      <c r="E212" t="s">
        <v>836</v>
      </c>
      <c r="F212" t="s">
        <v>825</v>
      </c>
      <c r="G212" t="s">
        <v>826</v>
      </c>
      <c r="H212" t="s">
        <v>21</v>
      </c>
      <c r="I212" t="str">
        <f>T("0481411554")</f>
        <v>0481411554</v>
      </c>
      <c r="J212" t="str">
        <f>T("0481413991")</f>
        <v>0481413991</v>
      </c>
      <c r="K212" t="s">
        <v>837</v>
      </c>
    </row>
    <row r="213" spans="1:11">
      <c r="A213">
        <v>2829</v>
      </c>
      <c r="B213" t="s">
        <v>838</v>
      </c>
      <c r="C213" t="s">
        <v>839</v>
      </c>
      <c r="D213" t="str">
        <f>T("33077")</f>
        <v>33077</v>
      </c>
      <c r="E213" t="s">
        <v>840</v>
      </c>
      <c r="F213" t="s">
        <v>841</v>
      </c>
      <c r="G213" t="s">
        <v>826</v>
      </c>
      <c r="H213" t="s">
        <v>21</v>
      </c>
      <c r="I213" t="str">
        <f>T("043470639")</f>
        <v>043470639</v>
      </c>
      <c r="J213" t="str">
        <f>T("043470639")</f>
        <v>043470639</v>
      </c>
      <c r="K213" t="s">
        <v>842</v>
      </c>
    </row>
    <row r="214" spans="1:11">
      <c r="A214">
        <v>2832</v>
      </c>
      <c r="B214" t="s">
        <v>843</v>
      </c>
      <c r="C214" t="s">
        <v>844</v>
      </c>
      <c r="D214" t="str">
        <f>T("33033")</f>
        <v>33033</v>
      </c>
      <c r="E214" t="s">
        <v>845</v>
      </c>
      <c r="F214" t="s">
        <v>846</v>
      </c>
      <c r="G214" t="s">
        <v>826</v>
      </c>
      <c r="H214" t="s">
        <v>21</v>
      </c>
      <c r="I214" t="str">
        <f>T("0432901117")</f>
        <v>0432901117</v>
      </c>
      <c r="J214" t="str">
        <f>T("0432908564")</f>
        <v>0432908564</v>
      </c>
      <c r="K214" t="s">
        <v>847</v>
      </c>
    </row>
    <row r="215" spans="1:11">
      <c r="A215">
        <v>2834</v>
      </c>
      <c r="B215" t="s">
        <v>848</v>
      </c>
      <c r="C215" t="s">
        <v>849</v>
      </c>
      <c r="D215" t="str">
        <f>T("33052")</f>
        <v>33052</v>
      </c>
      <c r="E215" t="s">
        <v>850</v>
      </c>
      <c r="F215" t="s">
        <v>846</v>
      </c>
      <c r="G215" t="s">
        <v>826</v>
      </c>
      <c r="H215" t="s">
        <v>21</v>
      </c>
      <c r="I215" t="str">
        <f>T("043131501")</f>
        <v>043131501</v>
      </c>
      <c r="J215" t="str">
        <f>T("043132774")</f>
        <v>043132774</v>
      </c>
      <c r="K215" t="s">
        <v>851</v>
      </c>
    </row>
    <row r="216" spans="1:11">
      <c r="A216">
        <v>2840</v>
      </c>
      <c r="B216" t="s">
        <v>852</v>
      </c>
      <c r="C216" t="s">
        <v>853</v>
      </c>
      <c r="D216" t="str">
        <f>T("33078")</f>
        <v>33078</v>
      </c>
      <c r="E216" t="s">
        <v>854</v>
      </c>
      <c r="F216" t="s">
        <v>841</v>
      </c>
      <c r="G216" t="s">
        <v>826</v>
      </c>
      <c r="H216" t="s">
        <v>21</v>
      </c>
      <c r="I216" t="str">
        <f>T("0434874030")</f>
        <v>0434874030</v>
      </c>
      <c r="J216" t="str">
        <f>T("0434874030")</f>
        <v>0434874030</v>
      </c>
      <c r="K216" t="s">
        <v>855</v>
      </c>
    </row>
    <row r="217" spans="1:11">
      <c r="A217">
        <v>2841</v>
      </c>
      <c r="B217" t="s">
        <v>856</v>
      </c>
      <c r="C217" t="s">
        <v>857</v>
      </c>
      <c r="D217" t="str">
        <f>T("33083")</f>
        <v>33083</v>
      </c>
      <c r="E217" t="s">
        <v>858</v>
      </c>
      <c r="F217" t="s">
        <v>841</v>
      </c>
      <c r="G217" t="s">
        <v>826</v>
      </c>
      <c r="H217" t="s">
        <v>21</v>
      </c>
      <c r="I217" t="str">
        <f>T("0434630785")</f>
        <v>0434630785</v>
      </c>
      <c r="J217" t="str">
        <f>T("0434639735")</f>
        <v>0434639735</v>
      </c>
      <c r="K217" t="s">
        <v>859</v>
      </c>
    </row>
    <row r="218" spans="1:11">
      <c r="A218">
        <v>2847</v>
      </c>
      <c r="B218" t="s">
        <v>860</v>
      </c>
      <c r="C218" t="s">
        <v>861</v>
      </c>
      <c r="D218" t="str">
        <f>T("33013")</f>
        <v>33013</v>
      </c>
      <c r="E218" t="s">
        <v>862</v>
      </c>
      <c r="F218" t="s">
        <v>846</v>
      </c>
      <c r="G218" t="s">
        <v>826</v>
      </c>
      <c r="H218" t="s">
        <v>21</v>
      </c>
      <c r="I218" t="str">
        <f>T("0432981009")</f>
        <v>0432981009</v>
      </c>
      <c r="J218" t="str">
        <f>T("0432981009")</f>
        <v>0432981009</v>
      </c>
      <c r="K218" t="s">
        <v>863</v>
      </c>
    </row>
    <row r="219" spans="1:11">
      <c r="A219">
        <v>2848</v>
      </c>
      <c r="B219" t="s">
        <v>860</v>
      </c>
      <c r="C219" t="s">
        <v>864</v>
      </c>
      <c r="D219" t="str">
        <f>T("33100")</f>
        <v>33100</v>
      </c>
      <c r="E219" t="s">
        <v>865</v>
      </c>
      <c r="F219" t="s">
        <v>846</v>
      </c>
      <c r="G219" t="s">
        <v>826</v>
      </c>
      <c r="H219" t="s">
        <v>21</v>
      </c>
      <c r="I219" t="str">
        <f>T("0432480549")</f>
        <v>0432480549</v>
      </c>
      <c r="J219" t="str">
        <f>T("0432478807")</f>
        <v>0432478807</v>
      </c>
      <c r="K219" t="s">
        <v>866</v>
      </c>
    </row>
    <row r="220" spans="1:11">
      <c r="A220">
        <v>2850</v>
      </c>
      <c r="B220" t="s">
        <v>867</v>
      </c>
      <c r="C220" t="s">
        <v>868</v>
      </c>
      <c r="D220" t="str">
        <f>T("33170")</f>
        <v>33170</v>
      </c>
      <c r="E220" t="s">
        <v>869</v>
      </c>
      <c r="F220" t="s">
        <v>841</v>
      </c>
      <c r="G220" t="s">
        <v>826</v>
      </c>
      <c r="H220" t="s">
        <v>21</v>
      </c>
      <c r="I220" t="str">
        <f>T("0434541922")</f>
        <v>0434541922</v>
      </c>
      <c r="J220" t="str">
        <f>T("0434541013")</f>
        <v>0434541013</v>
      </c>
      <c r="K220" t="s">
        <v>870</v>
      </c>
    </row>
    <row r="221" spans="1:11">
      <c r="A221">
        <v>2852</v>
      </c>
      <c r="B221" t="s">
        <v>852</v>
      </c>
      <c r="C221" t="s">
        <v>871</v>
      </c>
      <c r="D221" t="str">
        <f>T("33097")</f>
        <v>33097</v>
      </c>
      <c r="E221" t="s">
        <v>872</v>
      </c>
      <c r="F221" t="s">
        <v>841</v>
      </c>
      <c r="G221" t="s">
        <v>826</v>
      </c>
      <c r="H221" t="s">
        <v>21</v>
      </c>
      <c r="I221" t="str">
        <f>T("042750254")</f>
        <v>042750254</v>
      </c>
      <c r="J221" t="str">
        <f>T("042750254")</f>
        <v>042750254</v>
      </c>
      <c r="K221" t="s">
        <v>855</v>
      </c>
    </row>
    <row r="222" spans="1:11">
      <c r="A222">
        <v>2853</v>
      </c>
      <c r="B222" t="s">
        <v>873</v>
      </c>
      <c r="C222" t="s">
        <v>874</v>
      </c>
      <c r="D222" t="str">
        <f>T("33170")</f>
        <v>33170</v>
      </c>
      <c r="E222" t="s">
        <v>869</v>
      </c>
      <c r="F222" t="s">
        <v>841</v>
      </c>
      <c r="G222" t="s">
        <v>826</v>
      </c>
      <c r="H222" t="s">
        <v>21</v>
      </c>
      <c r="I222" t="str">
        <f>T("0434520021")</f>
        <v>0434520021</v>
      </c>
      <c r="J222" t="str">
        <f>T("043428431")</f>
        <v>043428431</v>
      </c>
      <c r="K222" t="s">
        <v>875</v>
      </c>
    </row>
    <row r="223" spans="1:11">
      <c r="A223">
        <v>2855</v>
      </c>
      <c r="B223" t="s">
        <v>876</v>
      </c>
      <c r="C223" t="s">
        <v>877</v>
      </c>
      <c r="D223" t="str">
        <f>T("33035")</f>
        <v>33035</v>
      </c>
      <c r="E223" t="s">
        <v>878</v>
      </c>
      <c r="F223" t="s">
        <v>846</v>
      </c>
      <c r="G223" t="s">
        <v>826</v>
      </c>
      <c r="H223" t="s">
        <v>21</v>
      </c>
      <c r="I223" t="str">
        <f>T("0432544482")</f>
        <v>0432544482</v>
      </c>
      <c r="J223" t="str">
        <f>T("0432544464")</f>
        <v>0432544464</v>
      </c>
      <c r="K223" t="s">
        <v>879</v>
      </c>
    </row>
    <row r="224" spans="1:11">
      <c r="A224">
        <v>2856</v>
      </c>
      <c r="B224" t="s">
        <v>694</v>
      </c>
      <c r="C224" t="s">
        <v>880</v>
      </c>
      <c r="D224" t="str">
        <f>T("33170")</f>
        <v>33170</v>
      </c>
      <c r="E224" t="s">
        <v>869</v>
      </c>
      <c r="F224" t="s">
        <v>841</v>
      </c>
      <c r="G224" t="s">
        <v>594</v>
      </c>
      <c r="H224" t="s">
        <v>21</v>
      </c>
      <c r="I224" t="str">
        <f>T("043421013")</f>
        <v>043421013</v>
      </c>
      <c r="J224" t="str">
        <f>T("042144454")</f>
        <v>042144454</v>
      </c>
      <c r="K224" t="s">
        <v>881</v>
      </c>
    </row>
    <row r="225" spans="1:11">
      <c r="A225">
        <v>2857</v>
      </c>
      <c r="B225" t="s">
        <v>882</v>
      </c>
      <c r="C225" t="s">
        <v>883</v>
      </c>
      <c r="D225" t="str">
        <f>T("33043")</f>
        <v>33043</v>
      </c>
      <c r="E225" t="s">
        <v>884</v>
      </c>
      <c r="F225" t="s">
        <v>846</v>
      </c>
      <c r="G225" t="s">
        <v>826</v>
      </c>
      <c r="H225" t="s">
        <v>21</v>
      </c>
      <c r="I225" t="str">
        <f>T("0432732586")</f>
        <v>0432732586</v>
      </c>
      <c r="J225" t="str">
        <f>T("0432732586")</f>
        <v>0432732586</v>
      </c>
      <c r="K225" t="s">
        <v>885</v>
      </c>
    </row>
    <row r="226" spans="1:11">
      <c r="A226">
        <v>2920</v>
      </c>
      <c r="B226" t="s">
        <v>886</v>
      </c>
      <c r="C226" t="s">
        <v>887</v>
      </c>
      <c r="D226" t="str">
        <f>T("16039")</f>
        <v>16039</v>
      </c>
      <c r="E226" t="s">
        <v>888</v>
      </c>
      <c r="F226" t="s">
        <v>889</v>
      </c>
      <c r="G226" t="s">
        <v>890</v>
      </c>
      <c r="H226" t="s">
        <v>16</v>
      </c>
      <c r="I226" t="str">
        <f>T("018541119")</f>
        <v>018541119</v>
      </c>
      <c r="J226" t="str">
        <f>T("0185458013")</f>
        <v>0185458013</v>
      </c>
      <c r="K226" t="s">
        <v>891</v>
      </c>
    </row>
    <row r="227" spans="1:11">
      <c r="A227">
        <v>2924</v>
      </c>
      <c r="B227" t="s">
        <v>892</v>
      </c>
      <c r="C227" t="s">
        <v>893</v>
      </c>
      <c r="D227" t="str">
        <f>T("16121")</f>
        <v>16121</v>
      </c>
      <c r="E227" t="s">
        <v>894</v>
      </c>
      <c r="F227" t="s">
        <v>889</v>
      </c>
      <c r="G227" t="s">
        <v>890</v>
      </c>
      <c r="H227" t="s">
        <v>16</v>
      </c>
      <c r="I227" t="str">
        <f>T("010591245")</f>
        <v>010591245</v>
      </c>
      <c r="J227" t="str">
        <f>T("0230132653")</f>
        <v>0230132653</v>
      </c>
      <c r="K227" t="s">
        <v>895</v>
      </c>
    </row>
    <row r="228" spans="1:11">
      <c r="A228">
        <v>2925</v>
      </c>
      <c r="B228" t="s">
        <v>896</v>
      </c>
      <c r="C228" t="s">
        <v>897</v>
      </c>
      <c r="D228" t="str">
        <f>T("16138")</f>
        <v>16138</v>
      </c>
      <c r="E228" t="s">
        <v>894</v>
      </c>
      <c r="F228" t="s">
        <v>889</v>
      </c>
      <c r="G228" t="s">
        <v>890</v>
      </c>
      <c r="H228" t="s">
        <v>16</v>
      </c>
      <c r="I228" t="str">
        <f>T("0108353219")</f>
        <v>0108353219</v>
      </c>
      <c r="J228" t="str">
        <f>T("0108353219")</f>
        <v>0108353219</v>
      </c>
      <c r="K228" t="s">
        <v>898</v>
      </c>
    </row>
    <row r="229" spans="1:11">
      <c r="A229">
        <v>2927</v>
      </c>
      <c r="B229" t="s">
        <v>899</v>
      </c>
      <c r="C229" t="s">
        <v>900</v>
      </c>
      <c r="D229" t="str">
        <f>T("16154")</f>
        <v>16154</v>
      </c>
      <c r="E229" t="s">
        <v>894</v>
      </c>
      <c r="F229" t="s">
        <v>889</v>
      </c>
      <c r="G229" t="s">
        <v>890</v>
      </c>
      <c r="H229" t="s">
        <v>16</v>
      </c>
      <c r="I229" t="str">
        <f>T("0106044545")</f>
        <v>0106044545</v>
      </c>
      <c r="J229" t="str">
        <f>T("0106508411")</f>
        <v>0106508411</v>
      </c>
      <c r="K229" t="s">
        <v>901</v>
      </c>
    </row>
    <row r="230" spans="1:11">
      <c r="A230">
        <v>2929</v>
      </c>
      <c r="B230" t="s">
        <v>902</v>
      </c>
      <c r="C230" t="s">
        <v>903</v>
      </c>
      <c r="D230" t="str">
        <f>T("16151")</f>
        <v>16151</v>
      </c>
      <c r="E230" t="s">
        <v>894</v>
      </c>
      <c r="F230" t="s">
        <v>889</v>
      </c>
      <c r="G230" t="s">
        <v>890</v>
      </c>
      <c r="H230" t="s">
        <v>16</v>
      </c>
      <c r="I230" t="str">
        <f>T("0106469392")</f>
        <v>0106469392</v>
      </c>
      <c r="J230" t="str">
        <f>T("0106469445")</f>
        <v>0106469445</v>
      </c>
      <c r="K230" t="s">
        <v>904</v>
      </c>
    </row>
    <row r="231" spans="1:11">
      <c r="A231">
        <v>2930</v>
      </c>
      <c r="B231" t="s">
        <v>905</v>
      </c>
      <c r="C231" t="s">
        <v>906</v>
      </c>
      <c r="D231" t="str">
        <f>T("16121")</f>
        <v>16121</v>
      </c>
      <c r="E231" t="s">
        <v>894</v>
      </c>
      <c r="F231" t="s">
        <v>889</v>
      </c>
      <c r="G231" t="s">
        <v>890</v>
      </c>
      <c r="H231" t="s">
        <v>16</v>
      </c>
      <c r="I231" t="str">
        <f>T("0105531214")</f>
        <v>0105531214</v>
      </c>
      <c r="J231" t="str">
        <f>T("010589105")</f>
        <v>010589105</v>
      </c>
      <c r="K231" t="s">
        <v>907</v>
      </c>
    </row>
    <row r="232" spans="1:11">
      <c r="A232">
        <v>2932</v>
      </c>
      <c r="B232" t="s">
        <v>908</v>
      </c>
      <c r="C232" t="s">
        <v>909</v>
      </c>
      <c r="D232" t="str">
        <f>T("16158")</f>
        <v>16158</v>
      </c>
      <c r="E232" t="s">
        <v>894</v>
      </c>
      <c r="F232" t="s">
        <v>889</v>
      </c>
      <c r="G232" t="s">
        <v>890</v>
      </c>
      <c r="H232" t="s">
        <v>16</v>
      </c>
      <c r="I232" t="str">
        <f>T("0106136278")</f>
        <v>0106136278</v>
      </c>
      <c r="J232" t="str">
        <f>T("0100980686")</f>
        <v>0100980686</v>
      </c>
      <c r="K232" t="s">
        <v>910</v>
      </c>
    </row>
    <row r="233" spans="1:11">
      <c r="A233">
        <v>3018</v>
      </c>
      <c r="B233" t="s">
        <v>911</v>
      </c>
      <c r="C233" t="s">
        <v>912</v>
      </c>
      <c r="D233" t="str">
        <f>T("18018")</f>
        <v>18018</v>
      </c>
      <c r="E233" t="s">
        <v>913</v>
      </c>
      <c r="F233" t="s">
        <v>914</v>
      </c>
      <c r="G233" t="s">
        <v>890</v>
      </c>
      <c r="H233" t="s">
        <v>16</v>
      </c>
      <c r="I233" t="str">
        <f>T("0184461056")</f>
        <v>0184461056</v>
      </c>
      <c r="J233" t="str">
        <f>T("0184477363")</f>
        <v>0184477363</v>
      </c>
      <c r="K233" t="s">
        <v>915</v>
      </c>
    </row>
    <row r="234" spans="1:11">
      <c r="A234">
        <v>3021</v>
      </c>
      <c r="B234" t="s">
        <v>916</v>
      </c>
      <c r="C234" t="s">
        <v>917</v>
      </c>
      <c r="D234" t="str">
        <f>T("18038")</f>
        <v>18038</v>
      </c>
      <c r="E234" t="s">
        <v>918</v>
      </c>
      <c r="F234" t="s">
        <v>914</v>
      </c>
      <c r="G234" t="s">
        <v>890</v>
      </c>
      <c r="H234" t="s">
        <v>16</v>
      </c>
      <c r="I234" t="str">
        <f>T("0184505006")</f>
        <v>0184505006</v>
      </c>
      <c r="J234" t="str">
        <f>T("0184505006")</f>
        <v>0184505006</v>
      </c>
      <c r="K234" t="s">
        <v>919</v>
      </c>
    </row>
    <row r="235" spans="1:11">
      <c r="A235">
        <v>3112</v>
      </c>
      <c r="B235" t="s">
        <v>920</v>
      </c>
      <c r="C235" t="s">
        <v>921</v>
      </c>
      <c r="D235" t="str">
        <f>T("19125")</f>
        <v>19125</v>
      </c>
      <c r="E235" t="s">
        <v>922</v>
      </c>
      <c r="F235" t="s">
        <v>923</v>
      </c>
      <c r="G235" t="s">
        <v>890</v>
      </c>
      <c r="H235" t="s">
        <v>21</v>
      </c>
      <c r="I235" t="str">
        <f>T("0187503169")</f>
        <v>0187503169</v>
      </c>
      <c r="J235" t="str">
        <f>T("0187506190")</f>
        <v>0187506190</v>
      </c>
      <c r="K235" t="s">
        <v>924</v>
      </c>
    </row>
    <row r="236" spans="1:11">
      <c r="A236">
        <v>3114</v>
      </c>
      <c r="B236" t="s">
        <v>925</v>
      </c>
      <c r="C236" t="s">
        <v>926</v>
      </c>
      <c r="D236" t="str">
        <f>T("19038")</f>
        <v>19038</v>
      </c>
      <c r="E236" t="s">
        <v>927</v>
      </c>
      <c r="F236" t="s">
        <v>923</v>
      </c>
      <c r="G236" t="s">
        <v>890</v>
      </c>
      <c r="H236" t="s">
        <v>21</v>
      </c>
      <c r="I236" t="str">
        <f>T("0187621442")</f>
        <v>0187621442</v>
      </c>
      <c r="J236" t="str">
        <f>T("0187692140")</f>
        <v>0187692140</v>
      </c>
      <c r="K236" t="s">
        <v>928</v>
      </c>
    </row>
    <row r="237" spans="1:11">
      <c r="A237">
        <v>3115</v>
      </c>
      <c r="B237" t="s">
        <v>929</v>
      </c>
      <c r="C237" t="s">
        <v>930</v>
      </c>
      <c r="D237" t="str">
        <f>T("19020")</f>
        <v>19020</v>
      </c>
      <c r="E237" t="s">
        <v>931</v>
      </c>
      <c r="F237" t="s">
        <v>923</v>
      </c>
      <c r="G237" t="s">
        <v>890</v>
      </c>
      <c r="H237" t="s">
        <v>21</v>
      </c>
      <c r="I237" t="str">
        <f>T("0187933144")</f>
        <v>0187933144</v>
      </c>
      <c r="J237" t="str">
        <f>T("0187932650")</f>
        <v>0187932650</v>
      </c>
      <c r="K237" t="s">
        <v>932</v>
      </c>
    </row>
    <row r="238" spans="1:11">
      <c r="A238">
        <v>3303</v>
      </c>
      <c r="B238" t="s">
        <v>933</v>
      </c>
      <c r="C238" t="s">
        <v>934</v>
      </c>
      <c r="D238" t="str">
        <f>T("40069")</f>
        <v>40069</v>
      </c>
      <c r="E238" t="s">
        <v>935</v>
      </c>
      <c r="F238" t="s">
        <v>936</v>
      </c>
      <c r="G238" t="s">
        <v>937</v>
      </c>
      <c r="H238" t="s">
        <v>16</v>
      </c>
      <c r="I238" t="str">
        <f>T("051755353")</f>
        <v>051755353</v>
      </c>
      <c r="J238" t="str">
        <f>T("051752792")</f>
        <v>051752792</v>
      </c>
      <c r="K238" t="s">
        <v>938</v>
      </c>
    </row>
    <row r="239" spans="1:11">
      <c r="A239">
        <v>3304</v>
      </c>
      <c r="B239" t="s">
        <v>939</v>
      </c>
      <c r="C239" t="s">
        <v>940</v>
      </c>
      <c r="D239" t="str">
        <f>T("40017")</f>
        <v>40017</v>
      </c>
      <c r="E239" t="s">
        <v>941</v>
      </c>
      <c r="F239" t="s">
        <v>936</v>
      </c>
      <c r="G239" t="s">
        <v>937</v>
      </c>
      <c r="H239" t="s">
        <v>16</v>
      </c>
      <c r="I239" t="str">
        <f>T("051825377")</f>
        <v>051825377</v>
      </c>
      <c r="J239" t="str">
        <f>T("051822463")</f>
        <v>051822463</v>
      </c>
      <c r="K239" t="s">
        <v>942</v>
      </c>
    </row>
    <row r="240" spans="1:11">
      <c r="A240">
        <v>3314</v>
      </c>
      <c r="B240" t="s">
        <v>943</v>
      </c>
      <c r="C240" t="s">
        <v>944</v>
      </c>
      <c r="D240" t="str">
        <f>T("40011")</f>
        <v>40011</v>
      </c>
      <c r="E240" t="s">
        <v>945</v>
      </c>
      <c r="F240" t="s">
        <v>936</v>
      </c>
      <c r="G240" t="s">
        <v>937</v>
      </c>
      <c r="H240" t="s">
        <v>16</v>
      </c>
      <c r="I240" t="str">
        <f>T("051734151")</f>
        <v>051734151</v>
      </c>
      <c r="J240" t="str">
        <f>T("051733312")</f>
        <v>051733312</v>
      </c>
      <c r="K240" t="s">
        <v>946</v>
      </c>
    </row>
    <row r="241" spans="1:11">
      <c r="A241">
        <v>3321</v>
      </c>
      <c r="B241" t="s">
        <v>947</v>
      </c>
      <c r="C241" t="s">
        <v>948</v>
      </c>
      <c r="D241" t="str">
        <f>T("40059")</f>
        <v>40059</v>
      </c>
      <c r="E241" t="s">
        <v>949</v>
      </c>
      <c r="F241" t="s">
        <v>936</v>
      </c>
      <c r="G241" t="s">
        <v>937</v>
      </c>
      <c r="H241" t="s">
        <v>21</v>
      </c>
      <c r="I241" t="str">
        <f>T("0516970622")</f>
        <v>0516970622</v>
      </c>
      <c r="J241" t="str">
        <f>T("0516971392")</f>
        <v>0516971392</v>
      </c>
      <c r="K241" t="s">
        <v>950</v>
      </c>
    </row>
    <row r="242" spans="1:11">
      <c r="A242">
        <v>3325</v>
      </c>
      <c r="B242" t="s">
        <v>951</v>
      </c>
      <c r="C242" t="s">
        <v>952</v>
      </c>
      <c r="D242" t="str">
        <f>T("40033")</f>
        <v>40033</v>
      </c>
      <c r="E242" t="s">
        <v>953</v>
      </c>
      <c r="F242" t="s">
        <v>936</v>
      </c>
      <c r="G242" t="s">
        <v>937</v>
      </c>
      <c r="H242" t="s">
        <v>16</v>
      </c>
      <c r="I242" t="str">
        <f>T("051577298")</f>
        <v>051577298</v>
      </c>
      <c r="J242" t="str">
        <f>T("051578600")</f>
        <v>051578600</v>
      </c>
      <c r="K242" t="s">
        <v>954</v>
      </c>
    </row>
    <row r="243" spans="1:11">
      <c r="A243">
        <v>3327</v>
      </c>
      <c r="B243" t="s">
        <v>955</v>
      </c>
      <c r="C243" t="s">
        <v>956</v>
      </c>
      <c r="D243" t="str">
        <f>T("40051")</f>
        <v>40051</v>
      </c>
      <c r="E243" t="s">
        <v>957</v>
      </c>
      <c r="F243" t="s">
        <v>936</v>
      </c>
      <c r="G243" t="s">
        <v>937</v>
      </c>
      <c r="H243" t="s">
        <v>21</v>
      </c>
      <c r="I243" t="str">
        <f>T("051870611")</f>
        <v>051870611</v>
      </c>
      <c r="J243" t="str">
        <f>T("051870611")</f>
        <v>051870611</v>
      </c>
      <c r="K243" t="s">
        <v>958</v>
      </c>
    </row>
    <row r="244" spans="1:11">
      <c r="A244">
        <v>3329</v>
      </c>
      <c r="B244" t="s">
        <v>959</v>
      </c>
      <c r="C244" t="s">
        <v>960</v>
      </c>
      <c r="D244" t="str">
        <f>T("40026")</f>
        <v>40026</v>
      </c>
      <c r="E244" t="s">
        <v>961</v>
      </c>
      <c r="F244" t="s">
        <v>936</v>
      </c>
      <c r="G244" t="s">
        <v>937</v>
      </c>
      <c r="H244" t="s">
        <v>21</v>
      </c>
      <c r="I244" t="str">
        <f>T("0542640724")</f>
        <v>0542640724</v>
      </c>
      <c r="J244" t="str">
        <f>T("0542640724")</f>
        <v>0542640724</v>
      </c>
      <c r="K244" t="s">
        <v>962</v>
      </c>
    </row>
    <row r="245" spans="1:11">
      <c r="A245">
        <v>3335</v>
      </c>
      <c r="B245" t="s">
        <v>963</v>
      </c>
      <c r="C245" t="s">
        <v>964</v>
      </c>
      <c r="D245" t="str">
        <f>T("40057")</f>
        <v>40057</v>
      </c>
      <c r="E245" t="s">
        <v>965</v>
      </c>
      <c r="F245" t="s">
        <v>936</v>
      </c>
      <c r="G245" t="s">
        <v>937</v>
      </c>
      <c r="H245" t="s">
        <v>21</v>
      </c>
      <c r="I245" t="str">
        <f>T("051768562")</f>
        <v>051768562</v>
      </c>
      <c r="J245" t="str">
        <f>T("051768562")</f>
        <v>051768562</v>
      </c>
      <c r="K245" t="s">
        <v>966</v>
      </c>
    </row>
    <row r="246" spans="1:11">
      <c r="A246">
        <v>3347</v>
      </c>
      <c r="B246" t="s">
        <v>967</v>
      </c>
      <c r="C246" t="s">
        <v>968</v>
      </c>
      <c r="D246" t="str">
        <f>T("40068")</f>
        <v>40068</v>
      </c>
      <c r="E246" t="s">
        <v>969</v>
      </c>
      <c r="F246" t="s">
        <v>936</v>
      </c>
      <c r="G246" t="s">
        <v>937</v>
      </c>
      <c r="H246" t="s">
        <v>21</v>
      </c>
      <c r="I246" t="str">
        <f>T("051465024")</f>
        <v>051465024</v>
      </c>
      <c r="J246" t="str">
        <f>T("051453702")</f>
        <v>051453702</v>
      </c>
      <c r="K246" t="s">
        <v>970</v>
      </c>
    </row>
    <row r="247" spans="1:11">
      <c r="A247">
        <v>3350</v>
      </c>
      <c r="B247" t="s">
        <v>971</v>
      </c>
      <c r="C247" t="s">
        <v>972</v>
      </c>
      <c r="D247" t="str">
        <f>T("40139")</f>
        <v>40139</v>
      </c>
      <c r="E247" t="s">
        <v>973</v>
      </c>
      <c r="F247" t="s">
        <v>936</v>
      </c>
      <c r="G247" t="s">
        <v>937</v>
      </c>
      <c r="H247" t="s">
        <v>21</v>
      </c>
      <c r="I247" t="str">
        <f>T("0516241499")</f>
        <v>0516241499</v>
      </c>
      <c r="J247" t="str">
        <f>T("0516247552")</f>
        <v>0516247552</v>
      </c>
      <c r="K247" t="s">
        <v>974</v>
      </c>
    </row>
    <row r="248" spans="1:11">
      <c r="A248">
        <v>3352</v>
      </c>
      <c r="B248" t="s">
        <v>975</v>
      </c>
      <c r="C248" t="s">
        <v>976</v>
      </c>
      <c r="D248" t="str">
        <f>T("40065")</f>
        <v>40065</v>
      </c>
      <c r="E248" t="s">
        <v>977</v>
      </c>
      <c r="F248" t="s">
        <v>936</v>
      </c>
      <c r="G248" t="s">
        <v>937</v>
      </c>
      <c r="H248" t="s">
        <v>21</v>
      </c>
      <c r="I248" t="str">
        <f>T("051743444")</f>
        <v>051743444</v>
      </c>
      <c r="J248" t="str">
        <f>T("051742372")</f>
        <v>051742372</v>
      </c>
      <c r="K248" t="s">
        <v>978</v>
      </c>
    </row>
    <row r="249" spans="1:11">
      <c r="A249">
        <v>3354</v>
      </c>
      <c r="B249" t="s">
        <v>979</v>
      </c>
      <c r="C249" t="s">
        <v>980</v>
      </c>
      <c r="D249" t="str">
        <f>T("40138")</f>
        <v>40138</v>
      </c>
      <c r="E249" t="s">
        <v>973</v>
      </c>
      <c r="F249" t="s">
        <v>936</v>
      </c>
      <c r="G249" t="s">
        <v>937</v>
      </c>
      <c r="H249" t="s">
        <v>16</v>
      </c>
      <c r="I249" t="str">
        <f>T("051391486")</f>
        <v>051391486</v>
      </c>
      <c r="J249" t="str">
        <f>T("051391506")</f>
        <v>051391506</v>
      </c>
      <c r="K249" t="s">
        <v>981</v>
      </c>
    </row>
    <row r="250" spans="1:11">
      <c r="A250">
        <v>3355</v>
      </c>
      <c r="B250" t="s">
        <v>982</v>
      </c>
      <c r="C250" t="s">
        <v>983</v>
      </c>
      <c r="D250" t="str">
        <f>T("40046")</f>
        <v>40046</v>
      </c>
      <c r="E250" t="s">
        <v>984</v>
      </c>
      <c r="F250" t="s">
        <v>936</v>
      </c>
      <c r="G250" t="s">
        <v>937</v>
      </c>
      <c r="H250" t="s">
        <v>16</v>
      </c>
      <c r="I250" t="str">
        <f>T("053424460")</f>
        <v>053424460</v>
      </c>
      <c r="J250" t="str">
        <f>T("053423146")</f>
        <v>053423146</v>
      </c>
      <c r="K250" t="s">
        <v>985</v>
      </c>
    </row>
    <row r="251" spans="1:11">
      <c r="A251">
        <v>3356</v>
      </c>
      <c r="B251" t="s">
        <v>986</v>
      </c>
      <c r="C251" t="s">
        <v>987</v>
      </c>
      <c r="D251" t="str">
        <f>T("40050")</f>
        <v>40050</v>
      </c>
      <c r="E251" t="s">
        <v>988</v>
      </c>
      <c r="F251" t="s">
        <v>936</v>
      </c>
      <c r="G251" t="s">
        <v>937</v>
      </c>
      <c r="H251" t="s">
        <v>16</v>
      </c>
      <c r="I251" t="str">
        <f>T("0516707714")</f>
        <v>0516707714</v>
      </c>
      <c r="J251" t="str">
        <f>T("0516707189")</f>
        <v>0516707189</v>
      </c>
      <c r="K251" t="s">
        <v>989</v>
      </c>
    </row>
    <row r="252" spans="1:11">
      <c r="A252">
        <v>3363</v>
      </c>
      <c r="B252" t="s">
        <v>990</v>
      </c>
      <c r="C252" t="s">
        <v>991</v>
      </c>
      <c r="D252" t="str">
        <f>T("40133")</f>
        <v>40133</v>
      </c>
      <c r="E252" t="s">
        <v>973</v>
      </c>
      <c r="F252" t="s">
        <v>936</v>
      </c>
      <c r="G252" t="s">
        <v>937</v>
      </c>
      <c r="H252" t="s">
        <v>21</v>
      </c>
      <c r="I252" t="str">
        <f>T("051382769")</f>
        <v>051382769</v>
      </c>
      <c r="J252" t="str">
        <f>T("051381543")</f>
        <v>051381543</v>
      </c>
      <c r="K252" t="s">
        <v>992</v>
      </c>
    </row>
    <row r="253" spans="1:11">
      <c r="A253">
        <v>3364</v>
      </c>
      <c r="B253" t="s">
        <v>993</v>
      </c>
      <c r="C253" t="s">
        <v>994</v>
      </c>
      <c r="D253" t="str">
        <f>T("40013")</f>
        <v>40013</v>
      </c>
      <c r="E253" t="s">
        <v>995</v>
      </c>
      <c r="F253" t="s">
        <v>936</v>
      </c>
      <c r="G253" t="s">
        <v>937</v>
      </c>
      <c r="H253" t="s">
        <v>16</v>
      </c>
      <c r="I253" t="str">
        <f>T("051712821")</f>
        <v>051712821</v>
      </c>
      <c r="J253" t="str">
        <f>T("0516321506")</f>
        <v>0516321506</v>
      </c>
      <c r="K253" t="s">
        <v>996</v>
      </c>
    </row>
    <row r="254" spans="1:11">
      <c r="A254">
        <v>3365</v>
      </c>
      <c r="B254" t="s">
        <v>997</v>
      </c>
      <c r="C254" t="s">
        <v>998</v>
      </c>
      <c r="D254" t="str">
        <f>T("40122")</f>
        <v>40122</v>
      </c>
      <c r="E254" t="s">
        <v>973</v>
      </c>
      <c r="F254" t="s">
        <v>936</v>
      </c>
      <c r="G254" t="s">
        <v>937</v>
      </c>
      <c r="H254" t="s">
        <v>16</v>
      </c>
      <c r="I254" t="str">
        <f>T("051555556")</f>
        <v>051555556</v>
      </c>
      <c r="J254" t="str">
        <f>T("051556503")</f>
        <v>051556503</v>
      </c>
      <c r="K254" t="s">
        <v>999</v>
      </c>
    </row>
    <row r="255" spans="1:11">
      <c r="A255">
        <v>3367</v>
      </c>
      <c r="B255" t="s">
        <v>1000</v>
      </c>
      <c r="C255" t="s">
        <v>1001</v>
      </c>
      <c r="D255" t="str">
        <f>T("40055")</f>
        <v>40055</v>
      </c>
      <c r="E255" t="s">
        <v>1002</v>
      </c>
      <c r="F255" t="s">
        <v>936</v>
      </c>
      <c r="G255" t="s">
        <v>937</v>
      </c>
      <c r="H255" t="s">
        <v>21</v>
      </c>
      <c r="I255" t="str">
        <f>T("051788829")</f>
        <v>051788829</v>
      </c>
      <c r="J255" t="str">
        <f>T("051786605")</f>
        <v>051786605</v>
      </c>
      <c r="K255" t="s">
        <v>1003</v>
      </c>
    </row>
    <row r="256" spans="1:11">
      <c r="A256">
        <v>3368</v>
      </c>
      <c r="B256" t="s">
        <v>1004</v>
      </c>
      <c r="C256" t="s">
        <v>1005</v>
      </c>
      <c r="D256" t="str">
        <f>T("40054")</f>
        <v>40054</v>
      </c>
      <c r="E256" t="s">
        <v>1006</v>
      </c>
      <c r="F256" t="s">
        <v>936</v>
      </c>
      <c r="G256" t="s">
        <v>937</v>
      </c>
      <c r="H256" t="s">
        <v>21</v>
      </c>
      <c r="I256" t="str">
        <f>T("051800911")</f>
        <v>051800911</v>
      </c>
      <c r="J256" t="str">
        <f>T("051800911")</f>
        <v>051800911</v>
      </c>
      <c r="K256" t="s">
        <v>1007</v>
      </c>
    </row>
    <row r="257" spans="1:11">
      <c r="A257">
        <v>3370</v>
      </c>
      <c r="B257" t="s">
        <v>1008</v>
      </c>
      <c r="C257" t="s">
        <v>1009</v>
      </c>
      <c r="D257" t="str">
        <f>T("40138")</f>
        <v>40138</v>
      </c>
      <c r="E257" t="s">
        <v>973</v>
      </c>
      <c r="F257" t="s">
        <v>936</v>
      </c>
      <c r="G257" t="s">
        <v>937</v>
      </c>
      <c r="H257" t="s">
        <v>21</v>
      </c>
      <c r="I257" t="str">
        <f>T("051538038")</f>
        <v>051538038</v>
      </c>
      <c r="J257" t="str">
        <f>T("051533854")</f>
        <v>051533854</v>
      </c>
      <c r="K257" t="s">
        <v>1010</v>
      </c>
    </row>
    <row r="258" spans="1:11">
      <c r="A258">
        <v>3371</v>
      </c>
      <c r="B258" t="s">
        <v>1011</v>
      </c>
      <c r="C258" t="s">
        <v>1012</v>
      </c>
      <c r="D258" t="str">
        <f>T("40137")</f>
        <v>40137</v>
      </c>
      <c r="E258" t="s">
        <v>973</v>
      </c>
      <c r="F258" t="s">
        <v>936</v>
      </c>
      <c r="G258" t="s">
        <v>937</v>
      </c>
      <c r="H258" t="s">
        <v>21</v>
      </c>
      <c r="I258" t="str">
        <f>T("0516237250")</f>
        <v>0516237250</v>
      </c>
      <c r="J258" t="str">
        <f>T("0516237250")</f>
        <v>0516237250</v>
      </c>
      <c r="K258" t="s">
        <v>1013</v>
      </c>
    </row>
    <row r="259" spans="1:11">
      <c r="A259">
        <v>3372</v>
      </c>
      <c r="B259" t="s">
        <v>1008</v>
      </c>
      <c r="C259" t="s">
        <v>1014</v>
      </c>
      <c r="D259" t="str">
        <f>T("40122")</f>
        <v>40122</v>
      </c>
      <c r="E259" t="s">
        <v>973</v>
      </c>
      <c r="F259" t="s">
        <v>936</v>
      </c>
      <c r="G259" t="s">
        <v>937</v>
      </c>
      <c r="H259" t="s">
        <v>21</v>
      </c>
      <c r="I259" t="str">
        <f>T("0510400680")</f>
        <v>0510400680</v>
      </c>
      <c r="J259" t="str">
        <f>T("051453702")</f>
        <v>051453702</v>
      </c>
      <c r="K259" t="s">
        <v>1015</v>
      </c>
    </row>
    <row r="260" spans="1:11">
      <c r="A260">
        <v>3374</v>
      </c>
      <c r="B260" t="s">
        <v>982</v>
      </c>
      <c r="C260" t="s">
        <v>1016</v>
      </c>
      <c r="D260" t="str">
        <f>T("40038")</f>
        <v>40038</v>
      </c>
      <c r="E260" t="s">
        <v>1017</v>
      </c>
      <c r="F260" t="s">
        <v>936</v>
      </c>
      <c r="G260" t="s">
        <v>937</v>
      </c>
      <c r="H260" t="s">
        <v>16</v>
      </c>
      <c r="I260" t="str">
        <f>T("053424460")</f>
        <v>053424460</v>
      </c>
      <c r="J260" t="str">
        <f>T("")</f>
        <v/>
      </c>
      <c r="K260" t="s">
        <v>985</v>
      </c>
    </row>
    <row r="261" spans="1:11">
      <c r="A261">
        <v>3375</v>
      </c>
      <c r="B261" t="s">
        <v>1018</v>
      </c>
      <c r="C261" t="s">
        <v>1019</v>
      </c>
      <c r="D261" t="str">
        <f>T("40126")</f>
        <v>40126</v>
      </c>
      <c r="E261" t="s">
        <v>973</v>
      </c>
      <c r="F261" t="s">
        <v>936</v>
      </c>
      <c r="G261" t="s">
        <v>937</v>
      </c>
      <c r="H261" t="s">
        <v>16</v>
      </c>
      <c r="I261" t="str">
        <f>T("051581671")</f>
        <v>051581671</v>
      </c>
      <c r="J261" t="str">
        <f>T("051710924")</f>
        <v>051710924</v>
      </c>
      <c r="K261" t="s">
        <v>1020</v>
      </c>
    </row>
    <row r="262" spans="1:11">
      <c r="A262">
        <v>3376</v>
      </c>
      <c r="B262" t="s">
        <v>947</v>
      </c>
      <c r="C262" t="s">
        <v>1021</v>
      </c>
      <c r="D262" t="str">
        <f>T("40024")</f>
        <v>40024</v>
      </c>
      <c r="E262" t="s">
        <v>1022</v>
      </c>
      <c r="F262" t="s">
        <v>936</v>
      </c>
      <c r="G262" t="s">
        <v>937</v>
      </c>
      <c r="H262" t="s">
        <v>21</v>
      </c>
      <c r="I262" t="str">
        <f>T("051948644")</f>
        <v>051948644</v>
      </c>
      <c r="J262" t="str">
        <f>T("0516949088")</f>
        <v>0516949088</v>
      </c>
      <c r="K262" t="s">
        <v>950</v>
      </c>
    </row>
    <row r="263" spans="1:11">
      <c r="A263">
        <v>3414</v>
      </c>
      <c r="B263" t="s">
        <v>1023</v>
      </c>
      <c r="C263" t="s">
        <v>1024</v>
      </c>
      <c r="D263" t="str">
        <f>T("44042")</f>
        <v>44042</v>
      </c>
      <c r="E263" t="s">
        <v>1025</v>
      </c>
      <c r="F263" t="s">
        <v>1026</v>
      </c>
      <c r="G263" t="s">
        <v>937</v>
      </c>
      <c r="H263" t="s">
        <v>21</v>
      </c>
      <c r="I263" t="str">
        <f>T("0516836521")</f>
        <v>0516836521</v>
      </c>
      <c r="J263" t="str">
        <f>T("0516835950")</f>
        <v>0516835950</v>
      </c>
      <c r="K263" t="s">
        <v>1027</v>
      </c>
    </row>
    <row r="264" spans="1:11">
      <c r="A264">
        <v>3416</v>
      </c>
      <c r="B264" t="s">
        <v>1028</v>
      </c>
      <c r="C264" t="s">
        <v>1029</v>
      </c>
      <c r="D264" t="str">
        <f>T("44122")</f>
        <v>44122</v>
      </c>
      <c r="E264" t="s">
        <v>1030</v>
      </c>
      <c r="F264" t="s">
        <v>1026</v>
      </c>
      <c r="G264" t="s">
        <v>937</v>
      </c>
      <c r="H264" t="s">
        <v>21</v>
      </c>
      <c r="I264" t="str">
        <f>T("053293554")</f>
        <v>053293554</v>
      </c>
      <c r="J264" t="str">
        <f>T("0532900659")</f>
        <v>0532900659</v>
      </c>
      <c r="K264" t="s">
        <v>1031</v>
      </c>
    </row>
    <row r="265" spans="1:11">
      <c r="A265">
        <v>3425</v>
      </c>
      <c r="B265" t="s">
        <v>1032</v>
      </c>
      <c r="C265" t="s">
        <v>1033</v>
      </c>
      <c r="D265" t="str">
        <f>T("44100")</f>
        <v>44100</v>
      </c>
      <c r="E265" t="s">
        <v>1030</v>
      </c>
      <c r="F265" t="s">
        <v>1026</v>
      </c>
      <c r="G265" t="s">
        <v>937</v>
      </c>
      <c r="H265" t="s">
        <v>21</v>
      </c>
      <c r="I265" t="str">
        <f>T("0532247008")</f>
        <v>0532247008</v>
      </c>
      <c r="J265" t="str">
        <f>T("0532247766")</f>
        <v>0532247766</v>
      </c>
      <c r="K265" t="s">
        <v>1034</v>
      </c>
    </row>
    <row r="266" spans="1:11">
      <c r="A266">
        <v>3426</v>
      </c>
      <c r="B266" t="s">
        <v>1035</v>
      </c>
      <c r="C266" t="s">
        <v>1036</v>
      </c>
      <c r="D266" t="str">
        <f>T("44012")</f>
        <v>44012</v>
      </c>
      <c r="E266" t="s">
        <v>1037</v>
      </c>
      <c r="F266" t="s">
        <v>1026</v>
      </c>
      <c r="G266" t="s">
        <v>937</v>
      </c>
      <c r="H266" t="s">
        <v>21</v>
      </c>
      <c r="I266" t="str">
        <f>T("0532897089")</f>
        <v>0532897089</v>
      </c>
      <c r="J266" t="str">
        <f>T("0532897303")</f>
        <v>0532897303</v>
      </c>
      <c r="K266" t="s">
        <v>1038</v>
      </c>
    </row>
    <row r="267" spans="1:11">
      <c r="A267">
        <v>3427</v>
      </c>
      <c r="B267" t="s">
        <v>1039</v>
      </c>
      <c r="C267" t="s">
        <v>1040</v>
      </c>
      <c r="D267" t="str">
        <f>T("44034")</f>
        <v>44034</v>
      </c>
      <c r="E267" t="s">
        <v>1041</v>
      </c>
      <c r="F267" t="s">
        <v>1026</v>
      </c>
      <c r="G267" t="s">
        <v>937</v>
      </c>
      <c r="H267" t="s">
        <v>21</v>
      </c>
      <c r="I267" t="str">
        <f>T("0532870002")</f>
        <v>0532870002</v>
      </c>
      <c r="J267" t="str">
        <f>T("0532870002")</f>
        <v>0532870002</v>
      </c>
      <c r="K267" t="s">
        <v>1042</v>
      </c>
    </row>
    <row r="268" spans="1:11">
      <c r="A268">
        <v>3523</v>
      </c>
      <c r="B268" t="s">
        <v>1043</v>
      </c>
      <c r="C268" t="s">
        <v>1044</v>
      </c>
      <c r="D268" t="str">
        <f>T("47122")</f>
        <v>47122</v>
      </c>
      <c r="E268" t="s">
        <v>1045</v>
      </c>
      <c r="F268" t="s">
        <v>1046</v>
      </c>
      <c r="G268" t="s">
        <v>937</v>
      </c>
      <c r="H268" t="s">
        <v>21</v>
      </c>
      <c r="I268" t="str">
        <f>T("0543721151")</f>
        <v>0543721151</v>
      </c>
      <c r="J268" t="str">
        <f>T("0543723976")</f>
        <v>0543723976</v>
      </c>
      <c r="K268" t="s">
        <v>1047</v>
      </c>
    </row>
    <row r="269" spans="1:11">
      <c r="A269">
        <v>3526</v>
      </c>
      <c r="B269" t="s">
        <v>1048</v>
      </c>
      <c r="C269" t="s">
        <v>1049</v>
      </c>
      <c r="D269" t="str">
        <f>T("47034")</f>
        <v>47034</v>
      </c>
      <c r="E269" t="s">
        <v>1050</v>
      </c>
      <c r="F269" t="s">
        <v>1051</v>
      </c>
      <c r="G269" t="s">
        <v>937</v>
      </c>
      <c r="H269" t="s">
        <v>21</v>
      </c>
      <c r="I269" t="str">
        <f>T("0543744510")</f>
        <v>0543744510</v>
      </c>
      <c r="J269" t="str">
        <f>T("0543744510")</f>
        <v>0543744510</v>
      </c>
      <c r="K269" t="s">
        <v>1052</v>
      </c>
    </row>
    <row r="270" spans="1:11">
      <c r="A270">
        <v>3527</v>
      </c>
      <c r="B270" t="s">
        <v>1043</v>
      </c>
      <c r="C270" t="s">
        <v>1053</v>
      </c>
      <c r="D270" t="str">
        <f>T("47121")</f>
        <v>47121</v>
      </c>
      <c r="E270" t="s">
        <v>1054</v>
      </c>
      <c r="F270" t="s">
        <v>1046</v>
      </c>
      <c r="G270" t="s">
        <v>937</v>
      </c>
      <c r="H270" t="s">
        <v>21</v>
      </c>
      <c r="I270" t="str">
        <f>T("0543422953")</f>
        <v>0543422953</v>
      </c>
      <c r="J270" t="str">
        <f>T("0543723976")</f>
        <v>0543723976</v>
      </c>
      <c r="K270" t="s">
        <v>1047</v>
      </c>
    </row>
    <row r="271" spans="1:11">
      <c r="A271">
        <v>3534</v>
      </c>
      <c r="B271" t="s">
        <v>1055</v>
      </c>
      <c r="C271" t="s">
        <v>1056</v>
      </c>
      <c r="D271" t="str">
        <f>T("47042")</f>
        <v>47042</v>
      </c>
      <c r="E271" t="s">
        <v>1057</v>
      </c>
      <c r="F271" t="s">
        <v>1046</v>
      </c>
      <c r="G271" t="s">
        <v>937</v>
      </c>
      <c r="H271" t="s">
        <v>21</v>
      </c>
      <c r="I271" t="str">
        <f>T("054782286")</f>
        <v>054782286</v>
      </c>
      <c r="J271" t="str">
        <f>T("0547674168")</f>
        <v>0547674168</v>
      </c>
      <c r="K271" t="s">
        <v>1058</v>
      </c>
    </row>
    <row r="272" spans="1:11">
      <c r="A272">
        <v>3536</v>
      </c>
      <c r="B272" t="s">
        <v>726</v>
      </c>
      <c r="C272" t="s">
        <v>1059</v>
      </c>
      <c r="D272" t="str">
        <f>T("47039")</f>
        <v>47039</v>
      </c>
      <c r="E272" t="s">
        <v>1060</v>
      </c>
      <c r="F272" t="s">
        <v>1046</v>
      </c>
      <c r="G272" t="s">
        <v>937</v>
      </c>
      <c r="H272" t="s">
        <v>21</v>
      </c>
      <c r="I272" t="str">
        <f>T("0541944090")</f>
        <v>0541944090</v>
      </c>
      <c r="J272" t="str">
        <f>T("0541944090")</f>
        <v>0541944090</v>
      </c>
      <c r="K272" t="s">
        <v>1061</v>
      </c>
    </row>
    <row r="273" spans="1:11">
      <c r="A273">
        <v>3540</v>
      </c>
      <c r="B273" t="s">
        <v>1062</v>
      </c>
      <c r="C273" t="s">
        <v>1063</v>
      </c>
      <c r="D273" t="str">
        <f>T("47522")</f>
        <v>47522</v>
      </c>
      <c r="E273" t="s">
        <v>1064</v>
      </c>
      <c r="F273" t="s">
        <v>1046</v>
      </c>
      <c r="G273" t="s">
        <v>937</v>
      </c>
      <c r="H273" t="s">
        <v>21</v>
      </c>
      <c r="I273" t="str">
        <f>T("0547334488")</f>
        <v>0547334488</v>
      </c>
      <c r="J273" t="str">
        <f>T("0547334488")</f>
        <v>0547334488</v>
      </c>
      <c r="K273" t="s">
        <v>1065</v>
      </c>
    </row>
    <row r="274" spans="1:11">
      <c r="A274">
        <v>3542</v>
      </c>
      <c r="B274" t="s">
        <v>1066</v>
      </c>
      <c r="C274" t="s">
        <v>1067</v>
      </c>
      <c r="D274" t="str">
        <f>T("47822")</f>
        <v>47822</v>
      </c>
      <c r="E274" t="s">
        <v>1068</v>
      </c>
      <c r="F274" t="s">
        <v>1069</v>
      </c>
      <c r="G274" t="s">
        <v>937</v>
      </c>
      <c r="H274" t="s">
        <v>21</v>
      </c>
      <c r="I274" t="str">
        <f>T("0541623256")</f>
        <v>0541623256</v>
      </c>
      <c r="J274" t="str">
        <f>T("0541623256")</f>
        <v>0541623256</v>
      </c>
      <c r="K274" t="s">
        <v>1070</v>
      </c>
    </row>
    <row r="275" spans="1:11">
      <c r="A275">
        <v>3543</v>
      </c>
      <c r="B275" t="s">
        <v>1071</v>
      </c>
      <c r="C275" t="s">
        <v>1072</v>
      </c>
      <c r="D275" t="str">
        <f>T("47814")</f>
        <v>47814</v>
      </c>
      <c r="E275" t="s">
        <v>1073</v>
      </c>
      <c r="F275" t="s">
        <v>1069</v>
      </c>
      <c r="G275" t="s">
        <v>937</v>
      </c>
      <c r="H275" t="s">
        <v>21</v>
      </c>
      <c r="I275" t="str">
        <f>T("0541341266")</f>
        <v>0541341266</v>
      </c>
      <c r="J275" t="str">
        <f>T("0541345554")</f>
        <v>0541345554</v>
      </c>
      <c r="K275" t="s">
        <v>1074</v>
      </c>
    </row>
    <row r="276" spans="1:11">
      <c r="A276">
        <v>3544</v>
      </c>
      <c r="B276" t="s">
        <v>1075</v>
      </c>
      <c r="C276" t="s">
        <v>1076</v>
      </c>
      <c r="D276" t="str">
        <f>T("47922")</f>
        <v>47922</v>
      </c>
      <c r="E276" t="s">
        <v>1077</v>
      </c>
      <c r="F276" t="s">
        <v>1069</v>
      </c>
      <c r="G276" t="s">
        <v>937</v>
      </c>
      <c r="H276" t="s">
        <v>21</v>
      </c>
      <c r="I276" t="str">
        <f>T("0541733694")</f>
        <v>0541733694</v>
      </c>
      <c r="J276" t="str">
        <f>T("0541737028")</f>
        <v>0541737028</v>
      </c>
      <c r="K276" t="s">
        <v>1078</v>
      </c>
    </row>
    <row r="277" spans="1:11">
      <c r="A277">
        <v>3547</v>
      </c>
      <c r="B277" t="s">
        <v>1079</v>
      </c>
      <c r="C277" t="s">
        <v>1080</v>
      </c>
      <c r="D277" t="str">
        <f>T("47841")</f>
        <v>47841</v>
      </c>
      <c r="E277" t="s">
        <v>1081</v>
      </c>
      <c r="F277" t="s">
        <v>1069</v>
      </c>
      <c r="G277" t="s">
        <v>937</v>
      </c>
      <c r="H277" t="s">
        <v>21</v>
      </c>
      <c r="I277" t="str">
        <f>T("0541967829")</f>
        <v>0541967829</v>
      </c>
      <c r="J277" t="str">
        <f>T("0541962386")</f>
        <v>0541962386</v>
      </c>
      <c r="K277" t="s">
        <v>1082</v>
      </c>
    </row>
    <row r="278" spans="1:11">
      <c r="A278">
        <v>3548</v>
      </c>
      <c r="B278" t="s">
        <v>1083</v>
      </c>
      <c r="C278" t="s">
        <v>1084</v>
      </c>
      <c r="D278" t="str">
        <f>T("47921")</f>
        <v>47921</v>
      </c>
      <c r="E278" t="s">
        <v>1085</v>
      </c>
      <c r="F278" t="s">
        <v>1069</v>
      </c>
      <c r="G278" t="s">
        <v>937</v>
      </c>
      <c r="H278" t="s">
        <v>21</v>
      </c>
      <c r="I278" t="str">
        <f>T("054124265")</f>
        <v>054124265</v>
      </c>
      <c r="J278" t="str">
        <f>T("054150392")</f>
        <v>054150392</v>
      </c>
      <c r="K278" t="s">
        <v>1086</v>
      </c>
    </row>
    <row r="279" spans="1:11">
      <c r="A279">
        <v>3550</v>
      </c>
      <c r="B279" t="s">
        <v>1087</v>
      </c>
      <c r="C279" t="s">
        <v>1088</v>
      </c>
      <c r="D279" t="str">
        <f>T("47521")</f>
        <v>47521</v>
      </c>
      <c r="E279" t="s">
        <v>1064</v>
      </c>
      <c r="F279" t="s">
        <v>1046</v>
      </c>
      <c r="G279" t="s">
        <v>937</v>
      </c>
      <c r="H279" t="s">
        <v>21</v>
      </c>
      <c r="I279" t="str">
        <f>T("054726773")</f>
        <v>054726773</v>
      </c>
      <c r="J279" t="str">
        <f>T("0547362791")</f>
        <v>0547362791</v>
      </c>
      <c r="K279" t="s">
        <v>1089</v>
      </c>
    </row>
    <row r="280" spans="1:11">
      <c r="A280">
        <v>3551</v>
      </c>
      <c r="B280" t="s">
        <v>1090</v>
      </c>
      <c r="C280" t="s">
        <v>1091</v>
      </c>
      <c r="D280" t="str">
        <f>T("47923")</f>
        <v>47923</v>
      </c>
      <c r="E280" t="s">
        <v>1085</v>
      </c>
      <c r="F280" t="s">
        <v>1069</v>
      </c>
      <c r="G280" t="s">
        <v>937</v>
      </c>
      <c r="H280" t="s">
        <v>21</v>
      </c>
      <c r="I280" t="str">
        <f>T("0541773233")</f>
        <v>0541773233</v>
      </c>
      <c r="J280" t="str">
        <f>T("0541773233")</f>
        <v>0541773233</v>
      </c>
      <c r="K280" t="s">
        <v>1092</v>
      </c>
    </row>
    <row r="281" spans="1:11">
      <c r="A281">
        <v>3552</v>
      </c>
      <c r="B281" t="s">
        <v>1093</v>
      </c>
      <c r="C281" t="s">
        <v>1094</v>
      </c>
      <c r="D281" t="str">
        <f>T("47900")</f>
        <v>47900</v>
      </c>
      <c r="E281" t="s">
        <v>1085</v>
      </c>
      <c r="F281" t="s">
        <v>1069</v>
      </c>
      <c r="G281" t="s">
        <v>937</v>
      </c>
      <c r="H281" t="s">
        <v>21</v>
      </c>
      <c r="I281" t="str">
        <f>T("0541393583")</f>
        <v>0541393583</v>
      </c>
      <c r="J281" t="str">
        <f>T("0541630231")</f>
        <v>0541630231</v>
      </c>
      <c r="K281" t="s">
        <v>1095</v>
      </c>
    </row>
    <row r="282" spans="1:11">
      <c r="A282">
        <v>3555</v>
      </c>
      <c r="B282" t="s">
        <v>1087</v>
      </c>
      <c r="C282" t="s">
        <v>1096</v>
      </c>
      <c r="D282" t="str">
        <f>T("47035")</f>
        <v>47035</v>
      </c>
      <c r="E282" t="s">
        <v>1097</v>
      </c>
      <c r="F282" t="s">
        <v>1046</v>
      </c>
      <c r="G282" t="s">
        <v>937</v>
      </c>
      <c r="H282" t="s">
        <v>21</v>
      </c>
      <c r="I282" t="str">
        <f>T("054753993")</f>
        <v>054753993</v>
      </c>
      <c r="J282" t="str">
        <f>T("054753993")</f>
        <v>054753993</v>
      </c>
      <c r="K282" t="s">
        <v>1089</v>
      </c>
    </row>
    <row r="283" spans="1:11">
      <c r="A283">
        <v>3601</v>
      </c>
      <c r="B283" t="s">
        <v>1098</v>
      </c>
      <c r="C283" t="s">
        <v>1099</v>
      </c>
      <c r="D283" t="str">
        <f>T("41121")</f>
        <v>41121</v>
      </c>
      <c r="E283" t="s">
        <v>1100</v>
      </c>
      <c r="F283" t="s">
        <v>1101</v>
      </c>
      <c r="G283" t="s">
        <v>937</v>
      </c>
      <c r="H283" t="s">
        <v>16</v>
      </c>
      <c r="I283" t="str">
        <f>T("059374703")</f>
        <v>059374703</v>
      </c>
      <c r="J283" t="str">
        <f>T("059362080")</f>
        <v>059362080</v>
      </c>
      <c r="K283" t="s">
        <v>1102</v>
      </c>
    </row>
    <row r="284" spans="1:11">
      <c r="A284">
        <v>3604</v>
      </c>
      <c r="B284" t="s">
        <v>1103</v>
      </c>
      <c r="C284" t="s">
        <v>1104</v>
      </c>
      <c r="D284" t="str">
        <f>T("41026")</f>
        <v>41026</v>
      </c>
      <c r="E284" t="s">
        <v>1105</v>
      </c>
      <c r="F284" t="s">
        <v>1101</v>
      </c>
      <c r="G284" t="s">
        <v>937</v>
      </c>
      <c r="H284" t="s">
        <v>16</v>
      </c>
      <c r="I284" t="str">
        <f>T("0536324767")</f>
        <v>0536324767</v>
      </c>
      <c r="J284" t="str">
        <f>T("0536308015")</f>
        <v>0536308015</v>
      </c>
      <c r="K284" t="s">
        <v>1106</v>
      </c>
    </row>
    <row r="285" spans="1:11">
      <c r="A285">
        <v>3621</v>
      </c>
      <c r="B285" t="s">
        <v>1107</v>
      </c>
      <c r="C285" t="s">
        <v>1108</v>
      </c>
      <c r="D285" t="str">
        <f>T("41049")</f>
        <v>41049</v>
      </c>
      <c r="E285" t="s">
        <v>1109</v>
      </c>
      <c r="F285" t="s">
        <v>1101</v>
      </c>
      <c r="G285" t="s">
        <v>937</v>
      </c>
      <c r="H285" t="s">
        <v>16</v>
      </c>
      <c r="I285" t="str">
        <f>T("0536868611")</f>
        <v>0536868611</v>
      </c>
      <c r="J285" t="str">
        <f>T("0536868618")</f>
        <v>0536868618</v>
      </c>
      <c r="K285" t="s">
        <v>1110</v>
      </c>
    </row>
    <row r="286" spans="1:11">
      <c r="A286">
        <v>3623</v>
      </c>
      <c r="B286" t="s">
        <v>1098</v>
      </c>
      <c r="C286" t="s">
        <v>1111</v>
      </c>
      <c r="D286" t="str">
        <f>T("41043")</f>
        <v>41043</v>
      </c>
      <c r="E286" t="s">
        <v>1112</v>
      </c>
      <c r="F286" t="s">
        <v>1101</v>
      </c>
      <c r="G286" t="s">
        <v>937</v>
      </c>
      <c r="H286" t="s">
        <v>16</v>
      </c>
      <c r="I286" t="str">
        <f>T("0594555560")</f>
        <v>0594555560</v>
      </c>
      <c r="J286" t="str">
        <f>T("0594555562")</f>
        <v>0594555562</v>
      </c>
      <c r="K286" t="s">
        <v>1113</v>
      </c>
    </row>
    <row r="287" spans="1:11">
      <c r="A287">
        <v>3625</v>
      </c>
      <c r="B287" t="s">
        <v>1114</v>
      </c>
      <c r="C287" t="s">
        <v>1115</v>
      </c>
      <c r="D287" t="str">
        <f>T("41057")</f>
        <v>41057</v>
      </c>
      <c r="E287" t="s">
        <v>1116</v>
      </c>
      <c r="F287" t="s">
        <v>1101</v>
      </c>
      <c r="G287" t="s">
        <v>937</v>
      </c>
      <c r="H287" t="s">
        <v>16</v>
      </c>
      <c r="I287" t="str">
        <f>T("059783575")</f>
        <v>059783575</v>
      </c>
      <c r="J287" t="str">
        <f>T("059784519")</f>
        <v>059784519</v>
      </c>
      <c r="K287" t="s">
        <v>1117</v>
      </c>
    </row>
    <row r="288" spans="1:11">
      <c r="A288">
        <v>3628</v>
      </c>
      <c r="B288" t="s">
        <v>1098</v>
      </c>
      <c r="C288" t="s">
        <v>1118</v>
      </c>
      <c r="D288" t="str">
        <f>T("41100")</f>
        <v>41100</v>
      </c>
      <c r="E288" t="s">
        <v>1100</v>
      </c>
      <c r="F288" t="s">
        <v>1101</v>
      </c>
      <c r="G288" t="s">
        <v>937</v>
      </c>
      <c r="H288" t="s">
        <v>16</v>
      </c>
      <c r="I288" t="str">
        <f>T("059346365")</f>
        <v>059346365</v>
      </c>
      <c r="J288" t="str">
        <f>T("059346373")</f>
        <v>059346373</v>
      </c>
      <c r="K288" t="s">
        <v>1119</v>
      </c>
    </row>
    <row r="289" spans="1:11">
      <c r="A289">
        <v>3637</v>
      </c>
      <c r="B289" t="s">
        <v>1098</v>
      </c>
      <c r="C289" t="s">
        <v>1120</v>
      </c>
      <c r="D289" t="str">
        <f>T("41058")</f>
        <v>41058</v>
      </c>
      <c r="E289" t="s">
        <v>1121</v>
      </c>
      <c r="F289" t="s">
        <v>1101</v>
      </c>
      <c r="G289" t="s">
        <v>937</v>
      </c>
      <c r="H289" t="s">
        <v>16</v>
      </c>
      <c r="I289" t="str">
        <f>T("059771215")</f>
        <v>059771215</v>
      </c>
      <c r="J289" t="str">
        <f>T("059776447")</f>
        <v>059776447</v>
      </c>
      <c r="K289" t="s">
        <v>1122</v>
      </c>
    </row>
    <row r="290" spans="1:11">
      <c r="A290">
        <v>3638</v>
      </c>
      <c r="B290" t="s">
        <v>1035</v>
      </c>
      <c r="C290" t="s">
        <v>1123</v>
      </c>
      <c r="D290" t="str">
        <f>T("41034")</f>
        <v>41034</v>
      </c>
      <c r="E290" t="s">
        <v>1124</v>
      </c>
      <c r="F290" t="s">
        <v>1101</v>
      </c>
      <c r="G290" t="s">
        <v>937</v>
      </c>
      <c r="H290" t="s">
        <v>21</v>
      </c>
      <c r="I290" t="str">
        <f>T("053590137")</f>
        <v>053590137</v>
      </c>
      <c r="J290" t="str">
        <f>T("0532897303")</f>
        <v>0532897303</v>
      </c>
      <c r="K290" t="s">
        <v>1038</v>
      </c>
    </row>
    <row r="291" spans="1:11">
      <c r="A291">
        <v>3639</v>
      </c>
      <c r="B291" t="s">
        <v>1125</v>
      </c>
      <c r="C291" t="s">
        <v>1126</v>
      </c>
      <c r="D291" t="str">
        <f>T("41012")</f>
        <v>41012</v>
      </c>
      <c r="E291" t="s">
        <v>1127</v>
      </c>
      <c r="F291" t="s">
        <v>1101</v>
      </c>
      <c r="G291" t="s">
        <v>937</v>
      </c>
      <c r="H291" t="s">
        <v>16</v>
      </c>
      <c r="I291" t="str">
        <f>T("0522634809")</f>
        <v>0522634809</v>
      </c>
      <c r="J291" t="str">
        <f>T("0522634809")</f>
        <v>0522634809</v>
      </c>
      <c r="K291" t="s">
        <v>1128</v>
      </c>
    </row>
    <row r="292" spans="1:11">
      <c r="A292">
        <v>3640</v>
      </c>
      <c r="B292" t="s">
        <v>1129</v>
      </c>
      <c r="C292" t="s">
        <v>1130</v>
      </c>
      <c r="D292" t="str">
        <f>T("41037")</f>
        <v>41037</v>
      </c>
      <c r="E292" t="s">
        <v>1131</v>
      </c>
      <c r="F292" t="s">
        <v>1101</v>
      </c>
      <c r="G292" t="s">
        <v>937</v>
      </c>
      <c r="H292" t="s">
        <v>16</v>
      </c>
      <c r="I292" t="str">
        <f>T("05351803003")</f>
        <v>05351803003</v>
      </c>
      <c r="J292" t="str">
        <f>T("0535418084")</f>
        <v>0535418084</v>
      </c>
      <c r="K292" t="s">
        <v>1132</v>
      </c>
    </row>
    <row r="293" spans="1:11">
      <c r="A293">
        <v>3641</v>
      </c>
      <c r="B293" t="s">
        <v>1133</v>
      </c>
      <c r="C293" t="s">
        <v>1134</v>
      </c>
      <c r="D293" t="str">
        <f>T("41013")</f>
        <v>41013</v>
      </c>
      <c r="E293" t="s">
        <v>1135</v>
      </c>
      <c r="F293" t="s">
        <v>1101</v>
      </c>
      <c r="G293" t="s">
        <v>937</v>
      </c>
      <c r="H293" t="s">
        <v>16</v>
      </c>
      <c r="I293" t="str">
        <f>T("059926733")</f>
        <v>059926733</v>
      </c>
      <c r="J293" t="str">
        <f>T("059920109")</f>
        <v>059920109</v>
      </c>
      <c r="K293" t="s">
        <v>1136</v>
      </c>
    </row>
    <row r="294" spans="1:11">
      <c r="A294">
        <v>3719</v>
      </c>
      <c r="B294" t="s">
        <v>1137</v>
      </c>
      <c r="C294" t="s">
        <v>1138</v>
      </c>
      <c r="D294" t="str">
        <f>T("43036")</f>
        <v>43036</v>
      </c>
      <c r="E294" t="s">
        <v>1139</v>
      </c>
      <c r="F294" t="s">
        <v>1140</v>
      </c>
      <c r="G294" t="s">
        <v>937</v>
      </c>
      <c r="H294" t="s">
        <v>16</v>
      </c>
      <c r="I294" t="str">
        <f>T("0524522369")</f>
        <v>0524522369</v>
      </c>
      <c r="J294" t="str">
        <f>T("0524591362")</f>
        <v>0524591362</v>
      </c>
      <c r="K294" t="s">
        <v>1141</v>
      </c>
    </row>
    <row r="295" spans="1:11">
      <c r="A295">
        <v>3727</v>
      </c>
      <c r="B295" t="s">
        <v>1142</v>
      </c>
      <c r="C295" t="s">
        <v>1143</v>
      </c>
      <c r="D295" t="str">
        <f>T("43122")</f>
        <v>43122</v>
      </c>
      <c r="E295" t="s">
        <v>1144</v>
      </c>
      <c r="F295" t="s">
        <v>1140</v>
      </c>
      <c r="G295" t="s">
        <v>937</v>
      </c>
      <c r="H295" t="s">
        <v>16</v>
      </c>
      <c r="I295" t="str">
        <f>T("0521771685")</f>
        <v>0521771685</v>
      </c>
      <c r="J295" t="str">
        <f>T("0521771738")</f>
        <v>0521771738</v>
      </c>
      <c r="K295" t="s">
        <v>1110</v>
      </c>
    </row>
    <row r="296" spans="1:11">
      <c r="A296">
        <v>3728</v>
      </c>
      <c r="B296" t="s">
        <v>1145</v>
      </c>
      <c r="C296" t="s">
        <v>1146</v>
      </c>
      <c r="D296" t="str">
        <f>T("43126")</f>
        <v>43126</v>
      </c>
      <c r="E296" t="s">
        <v>1144</v>
      </c>
      <c r="F296" t="s">
        <v>1140</v>
      </c>
      <c r="G296" t="s">
        <v>937</v>
      </c>
      <c r="H296" t="s">
        <v>16</v>
      </c>
      <c r="I296" t="str">
        <f>T("0522306462")</f>
        <v>0522306462</v>
      </c>
      <c r="J296" t="str">
        <f>T("522306462")</f>
        <v>522306462</v>
      </c>
      <c r="K296" t="s">
        <v>1147</v>
      </c>
    </row>
    <row r="297" spans="1:11">
      <c r="A297">
        <v>3729</v>
      </c>
      <c r="B297" t="s">
        <v>1148</v>
      </c>
      <c r="C297" t="s">
        <v>1149</v>
      </c>
      <c r="D297" t="str">
        <f>T("43039")</f>
        <v>43039</v>
      </c>
      <c r="E297" t="s">
        <v>1150</v>
      </c>
      <c r="F297" t="s">
        <v>1140</v>
      </c>
      <c r="G297" t="s">
        <v>937</v>
      </c>
      <c r="H297" t="s">
        <v>16</v>
      </c>
      <c r="I297" t="str">
        <f>T("0524575152")</f>
        <v>0524575152</v>
      </c>
      <c r="J297" t="str">
        <f>T("0524575152")</f>
        <v>0524575152</v>
      </c>
      <c r="K297" t="s">
        <v>1151</v>
      </c>
    </row>
    <row r="298" spans="1:11">
      <c r="A298">
        <v>3803</v>
      </c>
      <c r="B298" t="s">
        <v>1152</v>
      </c>
      <c r="C298" t="s">
        <v>1153</v>
      </c>
      <c r="D298" t="str">
        <f>T("29017")</f>
        <v>29017</v>
      </c>
      <c r="E298" t="s">
        <v>1154</v>
      </c>
      <c r="F298" t="s">
        <v>1155</v>
      </c>
      <c r="G298" t="s">
        <v>937</v>
      </c>
      <c r="H298" t="s">
        <v>16</v>
      </c>
      <c r="I298" t="str">
        <f>T("0523078600")</f>
        <v>0523078600</v>
      </c>
      <c r="J298" t="str">
        <f>T("0523078601")</f>
        <v>0523078601</v>
      </c>
      <c r="K298" t="s">
        <v>1156</v>
      </c>
    </row>
    <row r="299" spans="1:11">
      <c r="A299">
        <v>3812</v>
      </c>
      <c r="B299" t="s">
        <v>1157</v>
      </c>
      <c r="C299" t="s">
        <v>1158</v>
      </c>
      <c r="D299" t="str">
        <f>T("29122")</f>
        <v>29122</v>
      </c>
      <c r="E299" t="s">
        <v>1159</v>
      </c>
      <c r="F299" t="s">
        <v>1155</v>
      </c>
      <c r="G299" t="s">
        <v>937</v>
      </c>
      <c r="H299" t="s">
        <v>16</v>
      </c>
      <c r="I299" t="str">
        <f>T("0523590933")</f>
        <v>0523590933</v>
      </c>
      <c r="J299" t="str">
        <f>T("0523644526")</f>
        <v>0523644526</v>
      </c>
      <c r="K299" t="s">
        <v>1160</v>
      </c>
    </row>
    <row r="300" spans="1:11">
      <c r="A300">
        <v>3815</v>
      </c>
      <c r="B300" t="s">
        <v>1161</v>
      </c>
      <c r="C300" t="s">
        <v>1162</v>
      </c>
      <c r="D300" t="str">
        <f>T("29122")</f>
        <v>29122</v>
      </c>
      <c r="E300" t="s">
        <v>1159</v>
      </c>
      <c r="F300" t="s">
        <v>1155</v>
      </c>
      <c r="G300" t="s">
        <v>937</v>
      </c>
      <c r="H300" t="s">
        <v>16</v>
      </c>
      <c r="I300" t="str">
        <f>T("0523334333")</f>
        <v>0523334333</v>
      </c>
      <c r="J300" t="str">
        <f>T("0523322336")</f>
        <v>0523322336</v>
      </c>
      <c r="K300" t="s">
        <v>1163</v>
      </c>
    </row>
    <row r="301" spans="1:11">
      <c r="A301">
        <v>3919</v>
      </c>
      <c r="B301" t="s">
        <v>1164</v>
      </c>
      <c r="C301" t="s">
        <v>1165</v>
      </c>
      <c r="D301" t="str">
        <f>T("48022")</f>
        <v>48022</v>
      </c>
      <c r="E301" t="s">
        <v>1166</v>
      </c>
      <c r="F301" t="s">
        <v>1167</v>
      </c>
      <c r="G301" t="s">
        <v>937</v>
      </c>
      <c r="H301" t="s">
        <v>21</v>
      </c>
      <c r="I301" t="str">
        <f>T("054526131")</f>
        <v>054526131</v>
      </c>
      <c r="J301" t="str">
        <f>T("0545909301")</f>
        <v>0545909301</v>
      </c>
      <c r="K301" t="s">
        <v>1168</v>
      </c>
    </row>
    <row r="302" spans="1:11">
      <c r="A302">
        <v>3920</v>
      </c>
      <c r="B302" t="s">
        <v>408</v>
      </c>
      <c r="C302" t="s">
        <v>1169</v>
      </c>
      <c r="D302" t="str">
        <f>T("48122")</f>
        <v>48122</v>
      </c>
      <c r="E302" t="s">
        <v>1170</v>
      </c>
      <c r="F302" t="s">
        <v>1167</v>
      </c>
      <c r="G302" t="s">
        <v>937</v>
      </c>
      <c r="H302" t="s">
        <v>21</v>
      </c>
      <c r="I302" t="str">
        <f>T("0544423345")</f>
        <v>0544423345</v>
      </c>
      <c r="J302" t="str">
        <f>T("0544423706")</f>
        <v>0544423706</v>
      </c>
      <c r="K302" t="s">
        <v>1171</v>
      </c>
    </row>
    <row r="303" spans="1:11">
      <c r="A303">
        <v>3921</v>
      </c>
      <c r="B303" t="s">
        <v>1172</v>
      </c>
      <c r="C303" t="s">
        <v>1173</v>
      </c>
      <c r="D303" t="str">
        <f>T("48015")</f>
        <v>48015</v>
      </c>
      <c r="E303" t="s">
        <v>1174</v>
      </c>
      <c r="F303" t="s">
        <v>1167</v>
      </c>
      <c r="G303" t="s">
        <v>937</v>
      </c>
      <c r="H303" t="s">
        <v>21</v>
      </c>
      <c r="I303" t="str">
        <f>T("0544973036")</f>
        <v>0544973036</v>
      </c>
      <c r="J303" t="str">
        <f>T("0544972382")</f>
        <v>0544972382</v>
      </c>
      <c r="K303" t="s">
        <v>1175</v>
      </c>
    </row>
    <row r="304" spans="1:11">
      <c r="A304">
        <v>3922</v>
      </c>
      <c r="B304" t="s">
        <v>1176</v>
      </c>
      <c r="C304" t="s">
        <v>1177</v>
      </c>
      <c r="D304" t="str">
        <f>T("48100")</f>
        <v>48100</v>
      </c>
      <c r="E304" t="s">
        <v>1170</v>
      </c>
      <c r="F304" t="s">
        <v>1167</v>
      </c>
      <c r="G304" t="s">
        <v>937</v>
      </c>
      <c r="H304" t="s">
        <v>21</v>
      </c>
      <c r="I304" t="str">
        <f>T("0544500616")</f>
        <v>0544500616</v>
      </c>
      <c r="J304" t="str">
        <f>T("0544501040")</f>
        <v>0544501040</v>
      </c>
      <c r="K304" t="s">
        <v>1178</v>
      </c>
    </row>
    <row r="305" spans="1:11">
      <c r="A305">
        <v>3924</v>
      </c>
      <c r="B305" t="s">
        <v>1164</v>
      </c>
      <c r="C305" t="s">
        <v>1179</v>
      </c>
      <c r="D305" t="str">
        <f>T("48018")</f>
        <v>48018</v>
      </c>
      <c r="E305" t="s">
        <v>1180</v>
      </c>
      <c r="F305" t="s">
        <v>1167</v>
      </c>
      <c r="G305" t="s">
        <v>937</v>
      </c>
      <c r="H305" t="s">
        <v>21</v>
      </c>
      <c r="I305" t="str">
        <f>T("0546621306")</f>
        <v>0546621306</v>
      </c>
      <c r="J305" t="str">
        <f>T("0546628587")</f>
        <v>0546628587</v>
      </c>
      <c r="K305" t="s">
        <v>1181</v>
      </c>
    </row>
    <row r="306" spans="1:11">
      <c r="A306">
        <v>3925</v>
      </c>
      <c r="B306" t="s">
        <v>1182</v>
      </c>
      <c r="C306" t="s">
        <v>1183</v>
      </c>
      <c r="D306" t="str">
        <f>T("48018")</f>
        <v>48018</v>
      </c>
      <c r="E306" t="s">
        <v>1180</v>
      </c>
      <c r="F306" t="s">
        <v>1167</v>
      </c>
      <c r="G306" t="s">
        <v>937</v>
      </c>
      <c r="H306" t="s">
        <v>21</v>
      </c>
      <c r="I306" t="str">
        <f>T("0546682016")</f>
        <v>0546682016</v>
      </c>
      <c r="J306" t="str">
        <f>T("0546682026")</f>
        <v>0546682026</v>
      </c>
      <c r="K306" t="s">
        <v>1184</v>
      </c>
    </row>
    <row r="307" spans="1:11">
      <c r="A307">
        <v>3927</v>
      </c>
      <c r="B307" t="s">
        <v>1185</v>
      </c>
      <c r="C307" t="s">
        <v>1186</v>
      </c>
      <c r="D307" t="str">
        <f>T("48014")</f>
        <v>48014</v>
      </c>
      <c r="E307" t="s">
        <v>1187</v>
      </c>
      <c r="F307" t="s">
        <v>1167</v>
      </c>
      <c r="G307" t="s">
        <v>937</v>
      </c>
      <c r="H307" t="s">
        <v>21</v>
      </c>
      <c r="I307" t="str">
        <f>T("054655369")</f>
        <v>054655369</v>
      </c>
      <c r="J307" t="str">
        <f>T("054650637")</f>
        <v>054650637</v>
      </c>
      <c r="K307" t="s">
        <v>1188</v>
      </c>
    </row>
    <row r="308" spans="1:11">
      <c r="A308">
        <v>4002</v>
      </c>
      <c r="B308" t="s">
        <v>1189</v>
      </c>
      <c r="C308" t="s">
        <v>1190</v>
      </c>
      <c r="D308" t="str">
        <f>T("42049")</f>
        <v>42049</v>
      </c>
      <c r="E308" t="s">
        <v>1191</v>
      </c>
      <c r="F308" t="s">
        <v>1192</v>
      </c>
      <c r="G308" t="s">
        <v>937</v>
      </c>
      <c r="H308" t="s">
        <v>16</v>
      </c>
      <c r="I308" t="str">
        <f>T("0522672071")</f>
        <v>0522672071</v>
      </c>
      <c r="J308" t="str">
        <f>T("0522671566")</f>
        <v>0522671566</v>
      </c>
      <c r="K308" t="s">
        <v>1193</v>
      </c>
    </row>
    <row r="309" spans="1:11">
      <c r="A309">
        <v>4012</v>
      </c>
      <c r="B309" t="s">
        <v>1194</v>
      </c>
      <c r="C309" t="s">
        <v>1195</v>
      </c>
      <c r="D309" t="str">
        <f>T("42016")</f>
        <v>42016</v>
      </c>
      <c r="E309" t="s">
        <v>1196</v>
      </c>
      <c r="F309" t="s">
        <v>1192</v>
      </c>
      <c r="G309" t="s">
        <v>937</v>
      </c>
      <c r="H309" t="s">
        <v>16</v>
      </c>
      <c r="I309" t="str">
        <f>T("0522824572")</f>
        <v>0522824572</v>
      </c>
      <c r="J309" t="str">
        <f>T("0522830642")</f>
        <v>0522830642</v>
      </c>
      <c r="K309" t="s">
        <v>1197</v>
      </c>
    </row>
    <row r="310" spans="1:11">
      <c r="A310">
        <v>4018</v>
      </c>
      <c r="B310" t="s">
        <v>1145</v>
      </c>
      <c r="C310" t="s">
        <v>1198</v>
      </c>
      <c r="D310" t="str">
        <f>T("42100")</f>
        <v>42100</v>
      </c>
      <c r="E310" t="s">
        <v>1199</v>
      </c>
      <c r="F310" t="s">
        <v>1192</v>
      </c>
      <c r="G310" t="s">
        <v>937</v>
      </c>
      <c r="H310" t="s">
        <v>16</v>
      </c>
      <c r="I310" t="str">
        <f>T("0522930008")</f>
        <v>0522930008</v>
      </c>
      <c r="J310" t="str">
        <f>T("0522365990")</f>
        <v>0522365990</v>
      </c>
      <c r="K310" t="s">
        <v>1200</v>
      </c>
    </row>
    <row r="311" spans="1:11">
      <c r="A311">
        <v>4021</v>
      </c>
      <c r="B311" t="s">
        <v>1201</v>
      </c>
      <c r="C311" t="s">
        <v>1202</v>
      </c>
      <c r="D311" t="str">
        <f>T("42048")</f>
        <v>42048</v>
      </c>
      <c r="E311" t="s">
        <v>1203</v>
      </c>
      <c r="F311" t="s">
        <v>1192</v>
      </c>
      <c r="G311" t="s">
        <v>937</v>
      </c>
      <c r="H311" t="s">
        <v>16</v>
      </c>
      <c r="I311" t="str">
        <f>T("0522626275")</f>
        <v>0522626275</v>
      </c>
      <c r="J311" t="str">
        <f>T("0522627197")</f>
        <v>0522627197</v>
      </c>
      <c r="K311" t="s">
        <v>1204</v>
      </c>
    </row>
    <row r="312" spans="1:11">
      <c r="A312">
        <v>4024</v>
      </c>
      <c r="B312" t="s">
        <v>1145</v>
      </c>
      <c r="C312" t="s">
        <v>1205</v>
      </c>
      <c r="D312" t="str">
        <f>T("42100")</f>
        <v>42100</v>
      </c>
      <c r="E312" t="s">
        <v>1199</v>
      </c>
      <c r="F312" t="s">
        <v>1192</v>
      </c>
      <c r="G312" t="s">
        <v>937</v>
      </c>
      <c r="H312" t="s">
        <v>16</v>
      </c>
      <c r="I312" t="str">
        <f>T("0522433822")</f>
        <v>0522433822</v>
      </c>
      <c r="J312" t="str">
        <f>T("0522455687")</f>
        <v>0522455687</v>
      </c>
      <c r="K312" t="s">
        <v>1200</v>
      </c>
    </row>
    <row r="313" spans="1:11">
      <c r="A313">
        <v>4032</v>
      </c>
      <c r="B313" t="s">
        <v>1206</v>
      </c>
      <c r="C313" t="s">
        <v>1207</v>
      </c>
      <c r="D313" t="str">
        <f>T("42024")</f>
        <v>42024</v>
      </c>
      <c r="E313" t="s">
        <v>1208</v>
      </c>
      <c r="F313" t="s">
        <v>1192</v>
      </c>
      <c r="G313" t="s">
        <v>937</v>
      </c>
      <c r="H313" t="s">
        <v>16</v>
      </c>
      <c r="I313" t="str">
        <f>T("0522485075")</f>
        <v>0522485075</v>
      </c>
      <c r="J313" t="str">
        <f>T("0522485666")</f>
        <v>0522485666</v>
      </c>
      <c r="K313" t="s">
        <v>1209</v>
      </c>
    </row>
    <row r="314" spans="1:11">
      <c r="A314">
        <v>4033</v>
      </c>
      <c r="B314" t="s">
        <v>1107</v>
      </c>
      <c r="C314" t="s">
        <v>1210</v>
      </c>
      <c r="D314" t="str">
        <f>T("42019")</f>
        <v>42019</v>
      </c>
      <c r="E314" t="s">
        <v>1211</v>
      </c>
      <c r="F314" t="s">
        <v>1192</v>
      </c>
      <c r="G314" t="s">
        <v>937</v>
      </c>
      <c r="H314" t="s">
        <v>16</v>
      </c>
      <c r="I314" t="str">
        <f>T("0522765336")</f>
        <v>0522765336</v>
      </c>
      <c r="J314" t="str">
        <f>T("0522765337")</f>
        <v>0522765337</v>
      </c>
      <c r="K314" t="s">
        <v>1110</v>
      </c>
    </row>
    <row r="315" spans="1:11">
      <c r="A315">
        <v>4036</v>
      </c>
      <c r="B315" t="s">
        <v>1212</v>
      </c>
      <c r="C315" t="s">
        <v>1213</v>
      </c>
      <c r="D315" t="str">
        <f>T("42015")</f>
        <v>42015</v>
      </c>
      <c r="E315" t="s">
        <v>1214</v>
      </c>
      <c r="F315" t="s">
        <v>1192</v>
      </c>
      <c r="G315" t="s">
        <v>937</v>
      </c>
      <c r="H315" t="s">
        <v>16</v>
      </c>
      <c r="I315" t="str">
        <f>T("0522642288")</f>
        <v>0522642288</v>
      </c>
      <c r="J315" t="str">
        <f>T("")</f>
        <v/>
      </c>
      <c r="K315" t="s">
        <v>1128</v>
      </c>
    </row>
    <row r="316" spans="1:11">
      <c r="A316">
        <v>4038</v>
      </c>
      <c r="B316" t="s">
        <v>1212</v>
      </c>
      <c r="C316" t="s">
        <v>1215</v>
      </c>
      <c r="D316" t="str">
        <f>T("42017")</f>
        <v>42017</v>
      </c>
      <c r="E316" t="s">
        <v>1216</v>
      </c>
      <c r="F316" t="s">
        <v>1192</v>
      </c>
      <c r="G316" t="s">
        <v>937</v>
      </c>
      <c r="H316" t="s">
        <v>16</v>
      </c>
      <c r="I316" t="str">
        <f>T("0522693633")</f>
        <v>0522693633</v>
      </c>
      <c r="J316" t="str">
        <f>T("0522654789")</f>
        <v>0522654789</v>
      </c>
      <c r="K316" t="s">
        <v>1217</v>
      </c>
    </row>
    <row r="317" spans="1:11">
      <c r="A317">
        <v>4111</v>
      </c>
      <c r="B317" t="s">
        <v>1218</v>
      </c>
      <c r="C317" t="s">
        <v>1219</v>
      </c>
      <c r="D317" t="str">
        <f>T("52100")</f>
        <v>52100</v>
      </c>
      <c r="E317" t="s">
        <v>1220</v>
      </c>
      <c r="F317" t="s">
        <v>1221</v>
      </c>
      <c r="G317" t="s">
        <v>1222</v>
      </c>
      <c r="H317" t="s">
        <v>21</v>
      </c>
      <c r="I317" t="str">
        <f>T("057521337")</f>
        <v>057521337</v>
      </c>
      <c r="J317" t="str">
        <f>T("0575300049")</f>
        <v>0575300049</v>
      </c>
      <c r="K317" t="s">
        <v>1223</v>
      </c>
    </row>
    <row r="318" spans="1:11">
      <c r="A318">
        <v>4116</v>
      </c>
      <c r="B318" t="s">
        <v>1224</v>
      </c>
      <c r="C318" t="s">
        <v>1225</v>
      </c>
      <c r="D318" t="str">
        <f>T("52025")</f>
        <v>52025</v>
      </c>
      <c r="E318" t="s">
        <v>1226</v>
      </c>
      <c r="F318" t="s">
        <v>1221</v>
      </c>
      <c r="G318" t="s">
        <v>1222</v>
      </c>
      <c r="H318" t="s">
        <v>21</v>
      </c>
      <c r="I318" t="str">
        <f>T("055983212")</f>
        <v>055983212</v>
      </c>
      <c r="J318" t="str">
        <f>T("0559850075")</f>
        <v>0559850075</v>
      </c>
      <c r="K318" t="s">
        <v>1227</v>
      </c>
    </row>
    <row r="319" spans="1:11">
      <c r="A319">
        <v>4123</v>
      </c>
      <c r="B319" t="s">
        <v>1228</v>
      </c>
      <c r="C319" t="s">
        <v>1229</v>
      </c>
      <c r="D319" t="str">
        <f>T("52100")</f>
        <v>52100</v>
      </c>
      <c r="E319" t="s">
        <v>1220</v>
      </c>
      <c r="F319" t="s">
        <v>1221</v>
      </c>
      <c r="G319" t="s">
        <v>1222</v>
      </c>
      <c r="H319" t="s">
        <v>21</v>
      </c>
      <c r="I319" t="str">
        <f>T("0575353748")</f>
        <v>0575353748</v>
      </c>
      <c r="J319" t="str">
        <f>T("0575353748")</f>
        <v>0575353748</v>
      </c>
      <c r="K319" t="s">
        <v>1230</v>
      </c>
    </row>
    <row r="320" spans="1:11">
      <c r="A320">
        <v>4124</v>
      </c>
      <c r="B320" t="s">
        <v>1231</v>
      </c>
      <c r="C320" t="s">
        <v>1232</v>
      </c>
      <c r="D320" t="str">
        <f>T("52028")</f>
        <v>52028</v>
      </c>
      <c r="E320" t="s">
        <v>1233</v>
      </c>
      <c r="F320" t="s">
        <v>1221</v>
      </c>
      <c r="G320" t="s">
        <v>1222</v>
      </c>
      <c r="H320" t="s">
        <v>21</v>
      </c>
      <c r="I320" t="str">
        <f>T("0559199559")</f>
        <v>0559199559</v>
      </c>
      <c r="J320" t="str">
        <f>T("0559199622")</f>
        <v>0559199622</v>
      </c>
      <c r="K320" t="s">
        <v>1234</v>
      </c>
    </row>
    <row r="321" spans="1:11">
      <c r="A321">
        <v>4126</v>
      </c>
      <c r="B321" t="s">
        <v>1235</v>
      </c>
      <c r="C321" t="s">
        <v>1236</v>
      </c>
      <c r="D321" t="str">
        <f>T("52037")</f>
        <v>52037</v>
      </c>
      <c r="E321" t="s">
        <v>1237</v>
      </c>
      <c r="F321" t="s">
        <v>1221</v>
      </c>
      <c r="G321" t="s">
        <v>1222</v>
      </c>
      <c r="H321" t="s">
        <v>21</v>
      </c>
      <c r="I321" t="str">
        <f>T("0575735432")</f>
        <v>0575735432</v>
      </c>
      <c r="J321" t="str">
        <f>T("0575735432")</f>
        <v>0575735432</v>
      </c>
      <c r="K321" t="s">
        <v>1238</v>
      </c>
    </row>
    <row r="322" spans="1:11">
      <c r="A322">
        <v>4208</v>
      </c>
      <c r="B322" t="s">
        <v>1239</v>
      </c>
      <c r="C322" t="s">
        <v>1240</v>
      </c>
      <c r="D322" t="str">
        <f>T("50018")</f>
        <v>50018</v>
      </c>
      <c r="E322" t="s">
        <v>1241</v>
      </c>
      <c r="F322" t="s">
        <v>1242</v>
      </c>
      <c r="G322" t="s">
        <v>1222</v>
      </c>
      <c r="H322" t="s">
        <v>21</v>
      </c>
      <c r="I322" t="str">
        <f>T("055755106")</f>
        <v>055755106</v>
      </c>
      <c r="J322" t="str">
        <f>T("055755186")</f>
        <v>055755186</v>
      </c>
      <c r="K322" t="s">
        <v>1243</v>
      </c>
    </row>
    <row r="323" spans="1:11">
      <c r="A323">
        <v>4213</v>
      </c>
      <c r="B323" t="s">
        <v>1244</v>
      </c>
      <c r="C323" t="s">
        <v>1245</v>
      </c>
      <c r="D323" t="str">
        <f>T("50126")</f>
        <v>50126</v>
      </c>
      <c r="E323" t="s">
        <v>1246</v>
      </c>
      <c r="F323" t="s">
        <v>1242</v>
      </c>
      <c r="G323" t="s">
        <v>1222</v>
      </c>
      <c r="H323" t="s">
        <v>21</v>
      </c>
      <c r="I323" t="str">
        <f>T("055683637")</f>
        <v>055683637</v>
      </c>
      <c r="J323" t="str">
        <f>T("055689822")</f>
        <v>055689822</v>
      </c>
      <c r="K323" t="s">
        <v>1247</v>
      </c>
    </row>
    <row r="324" spans="1:11">
      <c r="A324">
        <v>4224</v>
      </c>
      <c r="B324" t="s">
        <v>1248</v>
      </c>
      <c r="C324" t="s">
        <v>1249</v>
      </c>
      <c r="D324" t="str">
        <f>T("50013")</f>
        <v>50013</v>
      </c>
      <c r="E324" t="s">
        <v>1250</v>
      </c>
      <c r="F324" t="s">
        <v>1242</v>
      </c>
      <c r="G324" t="s">
        <v>1222</v>
      </c>
      <c r="H324" t="s">
        <v>21</v>
      </c>
      <c r="I324" t="str">
        <f>T("0558961800")</f>
        <v>0558961800</v>
      </c>
      <c r="J324" t="str">
        <f>T("0558996910")</f>
        <v>0558996910</v>
      </c>
      <c r="K324" t="s">
        <v>1251</v>
      </c>
    </row>
    <row r="325" spans="1:11">
      <c r="A325">
        <v>4234</v>
      </c>
      <c r="B325" t="s">
        <v>1252</v>
      </c>
      <c r="C325" t="s">
        <v>1253</v>
      </c>
      <c r="D325" t="str">
        <f>T("59100")</f>
        <v>59100</v>
      </c>
      <c r="E325" t="s">
        <v>1254</v>
      </c>
      <c r="F325" t="s">
        <v>1255</v>
      </c>
      <c r="G325" t="s">
        <v>1222</v>
      </c>
      <c r="H325" t="s">
        <v>21</v>
      </c>
      <c r="I325" t="str">
        <f>T("057425810")</f>
        <v>057425810</v>
      </c>
      <c r="J325" t="str">
        <f>T("057439362")</f>
        <v>057439362</v>
      </c>
      <c r="K325" t="s">
        <v>1256</v>
      </c>
    </row>
    <row r="326" spans="1:11">
      <c r="A326">
        <v>4237</v>
      </c>
      <c r="B326" t="s">
        <v>1257</v>
      </c>
      <c r="C326" t="s">
        <v>1258</v>
      </c>
      <c r="D326" t="str">
        <f>T("50129")</f>
        <v>50129</v>
      </c>
      <c r="E326" t="s">
        <v>1246</v>
      </c>
      <c r="F326" t="s">
        <v>1242</v>
      </c>
      <c r="G326" t="s">
        <v>1222</v>
      </c>
      <c r="H326" t="s">
        <v>21</v>
      </c>
      <c r="I326" t="str">
        <f>T("055572125")</f>
        <v>055572125</v>
      </c>
      <c r="J326" t="str">
        <f>T("055579505")</f>
        <v>055579505</v>
      </c>
      <c r="K326" t="s">
        <v>1259</v>
      </c>
    </row>
    <row r="327" spans="1:11">
      <c r="A327">
        <v>4238</v>
      </c>
      <c r="B327" t="s">
        <v>1260</v>
      </c>
      <c r="C327" t="s">
        <v>1261</v>
      </c>
      <c r="D327" t="str">
        <f>T("59100")</f>
        <v>59100</v>
      </c>
      <c r="E327" t="s">
        <v>1254</v>
      </c>
      <c r="F327" t="s">
        <v>1255</v>
      </c>
      <c r="G327" t="s">
        <v>1222</v>
      </c>
      <c r="H327" t="s">
        <v>21</v>
      </c>
      <c r="I327" t="str">
        <f>T("0574582389")</f>
        <v>0574582389</v>
      </c>
      <c r="J327" t="str">
        <f>T("0574584437")</f>
        <v>0574584437</v>
      </c>
      <c r="K327" t="s">
        <v>1262</v>
      </c>
    </row>
    <row r="328" spans="1:11">
      <c r="A328">
        <v>4241</v>
      </c>
      <c r="B328" t="s">
        <v>1263</v>
      </c>
      <c r="C328" t="s">
        <v>1264</v>
      </c>
      <c r="D328" t="str">
        <f>T("50127")</f>
        <v>50127</v>
      </c>
      <c r="E328" t="s">
        <v>1246</v>
      </c>
      <c r="F328" t="s">
        <v>1242</v>
      </c>
      <c r="G328" t="s">
        <v>1222</v>
      </c>
      <c r="H328" t="s">
        <v>21</v>
      </c>
      <c r="I328" t="str">
        <f>T("055351526")</f>
        <v>055351526</v>
      </c>
      <c r="J328" t="str">
        <f>T("055366144")</f>
        <v>055366144</v>
      </c>
      <c r="K328" t="s">
        <v>1265</v>
      </c>
    </row>
    <row r="329" spans="1:11">
      <c r="A329">
        <v>4251</v>
      </c>
      <c r="B329" t="s">
        <v>1266</v>
      </c>
      <c r="C329" t="s">
        <v>1267</v>
      </c>
      <c r="D329" t="str">
        <f>T("50054")</f>
        <v>50054</v>
      </c>
      <c r="E329" t="s">
        <v>1268</v>
      </c>
      <c r="F329" t="s">
        <v>1242</v>
      </c>
      <c r="G329" t="s">
        <v>1222</v>
      </c>
      <c r="H329" t="s">
        <v>21</v>
      </c>
      <c r="I329" t="str">
        <f>T("0571245744")</f>
        <v>0571245744</v>
      </c>
      <c r="J329" t="str">
        <f>T("0571245744")</f>
        <v>0571245744</v>
      </c>
      <c r="K329" t="s">
        <v>1269</v>
      </c>
    </row>
    <row r="330" spans="1:11">
      <c r="A330">
        <v>4252</v>
      </c>
      <c r="B330" t="s">
        <v>1270</v>
      </c>
      <c r="C330" t="s">
        <v>1271</v>
      </c>
      <c r="D330" t="str">
        <f>T("50134")</f>
        <v>50134</v>
      </c>
      <c r="E330" t="s">
        <v>1246</v>
      </c>
      <c r="F330" t="s">
        <v>1242</v>
      </c>
      <c r="G330" t="s">
        <v>1222</v>
      </c>
      <c r="H330" t="s">
        <v>21</v>
      </c>
      <c r="I330" t="str">
        <f>T("0554369429")</f>
        <v>0554369429</v>
      </c>
      <c r="J330" t="str">
        <f>T("0554369429")</f>
        <v>0554369429</v>
      </c>
      <c r="K330" t="s">
        <v>1272</v>
      </c>
    </row>
    <row r="331" spans="1:11">
      <c r="A331">
        <v>4253</v>
      </c>
      <c r="B331" t="s">
        <v>1273</v>
      </c>
      <c r="C331" t="s">
        <v>1274</v>
      </c>
      <c r="D331" t="str">
        <f>T("50129")</f>
        <v>50129</v>
      </c>
      <c r="E331" t="s">
        <v>1246</v>
      </c>
      <c r="F331" t="s">
        <v>1242</v>
      </c>
      <c r="G331" t="s">
        <v>1222</v>
      </c>
      <c r="H331" t="s">
        <v>21</v>
      </c>
      <c r="I331" t="str">
        <f>T("055496013")</f>
        <v>055496013</v>
      </c>
      <c r="J331" t="str">
        <f>T("")</f>
        <v/>
      </c>
      <c r="K331" t="s">
        <v>1275</v>
      </c>
    </row>
    <row r="332" spans="1:11">
      <c r="A332">
        <v>4255</v>
      </c>
      <c r="B332" t="s">
        <v>1276</v>
      </c>
      <c r="C332" t="s">
        <v>1277</v>
      </c>
      <c r="D332" t="str">
        <f>T("50055")</f>
        <v>50055</v>
      </c>
      <c r="E332" t="s">
        <v>1278</v>
      </c>
      <c r="F332" t="s">
        <v>1242</v>
      </c>
      <c r="G332" t="s">
        <v>1222</v>
      </c>
      <c r="H332" t="s">
        <v>21</v>
      </c>
      <c r="I332" t="str">
        <f>T("0558724777")</f>
        <v>0558724777</v>
      </c>
      <c r="J332" t="str">
        <f>T("0558720402")</f>
        <v>0558720402</v>
      </c>
      <c r="K332" t="s">
        <v>1279</v>
      </c>
    </row>
    <row r="333" spans="1:11">
      <c r="A333">
        <v>4257</v>
      </c>
      <c r="B333" t="s">
        <v>1280</v>
      </c>
      <c r="C333" t="s">
        <v>1281</v>
      </c>
      <c r="D333" t="str">
        <f>T("50052")</f>
        <v>50052</v>
      </c>
      <c r="E333" t="s">
        <v>1282</v>
      </c>
      <c r="F333" t="s">
        <v>1242</v>
      </c>
      <c r="G333" t="s">
        <v>1222</v>
      </c>
      <c r="H333" t="s">
        <v>21</v>
      </c>
      <c r="I333" t="str">
        <f>T("0571668527")</f>
        <v>0571668527</v>
      </c>
      <c r="J333" t="str">
        <f>T("0571668527")</f>
        <v>0571668527</v>
      </c>
      <c r="K333" t="s">
        <v>1283</v>
      </c>
    </row>
    <row r="334" spans="1:11">
      <c r="A334">
        <v>4258</v>
      </c>
      <c r="B334" t="s">
        <v>1284</v>
      </c>
      <c r="C334" t="s">
        <v>1285</v>
      </c>
      <c r="D334" t="str">
        <f>T("50053")</f>
        <v>50053</v>
      </c>
      <c r="E334" t="s">
        <v>1286</v>
      </c>
      <c r="F334" t="s">
        <v>1242</v>
      </c>
      <c r="G334" t="s">
        <v>1222</v>
      </c>
      <c r="H334" t="s">
        <v>21</v>
      </c>
      <c r="I334" t="str">
        <f>T("057172192")</f>
        <v>057172192</v>
      </c>
      <c r="J334" t="str">
        <f>T("0571710789")</f>
        <v>0571710789</v>
      </c>
      <c r="K334" t="s">
        <v>1287</v>
      </c>
    </row>
    <row r="335" spans="1:11">
      <c r="A335">
        <v>4316</v>
      </c>
      <c r="B335" t="s">
        <v>1288</v>
      </c>
      <c r="C335" t="s">
        <v>1289</v>
      </c>
      <c r="D335" t="str">
        <f>T("58100")</f>
        <v>58100</v>
      </c>
      <c r="E335" t="s">
        <v>1290</v>
      </c>
      <c r="F335" t="s">
        <v>1291</v>
      </c>
      <c r="G335" t="s">
        <v>1222</v>
      </c>
      <c r="H335" t="s">
        <v>21</v>
      </c>
      <c r="I335" t="str">
        <f>T("056428279")</f>
        <v>056428279</v>
      </c>
      <c r="J335" t="str">
        <f>T("056428279")</f>
        <v>056428279</v>
      </c>
      <c r="K335" t="s">
        <v>1292</v>
      </c>
    </row>
    <row r="336" spans="1:11">
      <c r="A336">
        <v>4318</v>
      </c>
      <c r="B336" t="s">
        <v>1293</v>
      </c>
      <c r="C336" t="s">
        <v>1294</v>
      </c>
      <c r="D336" t="str">
        <f>T("58022")</f>
        <v>58022</v>
      </c>
      <c r="E336" t="s">
        <v>1295</v>
      </c>
      <c r="F336" t="s">
        <v>1291</v>
      </c>
      <c r="G336" t="s">
        <v>1222</v>
      </c>
      <c r="H336" t="s">
        <v>21</v>
      </c>
      <c r="I336" t="str">
        <f>T("0566263456")</f>
        <v>0566263456</v>
      </c>
      <c r="J336" t="str">
        <f>T("0566269107")</f>
        <v>0566269107</v>
      </c>
      <c r="K336" t="s">
        <v>1296</v>
      </c>
    </row>
    <row r="337" spans="1:11">
      <c r="A337">
        <v>4422</v>
      </c>
      <c r="B337" t="s">
        <v>1297</v>
      </c>
      <c r="C337" t="s">
        <v>1298</v>
      </c>
      <c r="D337" t="str">
        <f>T("57021")</f>
        <v>57021</v>
      </c>
      <c r="E337" t="s">
        <v>1299</v>
      </c>
      <c r="F337" t="s">
        <v>1300</v>
      </c>
      <c r="G337" t="s">
        <v>1222</v>
      </c>
      <c r="H337" t="s">
        <v>21</v>
      </c>
      <c r="I337" t="str">
        <f>T("0565850709")</f>
        <v>0565850709</v>
      </c>
      <c r="J337" t="str">
        <f>T("0565850709")</f>
        <v>0565850709</v>
      </c>
      <c r="K337" t="s">
        <v>1301</v>
      </c>
    </row>
    <row r="338" spans="1:11">
      <c r="A338">
        <v>4425</v>
      </c>
      <c r="B338" t="s">
        <v>1302</v>
      </c>
      <c r="C338" t="s">
        <v>1303</v>
      </c>
      <c r="D338" t="str">
        <f>T("57123")</f>
        <v>57123</v>
      </c>
      <c r="E338" t="s">
        <v>1304</v>
      </c>
      <c r="F338" t="s">
        <v>1300</v>
      </c>
      <c r="G338" t="s">
        <v>1222</v>
      </c>
      <c r="H338" t="s">
        <v>21</v>
      </c>
      <c r="I338" t="str">
        <f>T("0586898661")</f>
        <v>0586898661</v>
      </c>
      <c r="J338" t="str">
        <f>T("0586838562")</f>
        <v>0586838562</v>
      </c>
      <c r="K338" t="s">
        <v>1305</v>
      </c>
    </row>
    <row r="339" spans="1:11">
      <c r="A339">
        <v>4429</v>
      </c>
      <c r="B339" t="s">
        <v>1306</v>
      </c>
      <c r="C339" t="s">
        <v>1307</v>
      </c>
      <c r="D339" t="str">
        <f>T("57016")</f>
        <v>57016</v>
      </c>
      <c r="E339" t="s">
        <v>1308</v>
      </c>
      <c r="F339" t="s">
        <v>1300</v>
      </c>
      <c r="G339" t="s">
        <v>1222</v>
      </c>
      <c r="H339" t="s">
        <v>21</v>
      </c>
      <c r="I339" t="str">
        <f>T("0586769115")</f>
        <v>0586769115</v>
      </c>
      <c r="J339" t="str">
        <f>T("0586769115")</f>
        <v>0586769115</v>
      </c>
      <c r="K339" t="s">
        <v>1309</v>
      </c>
    </row>
    <row r="340" spans="1:11">
      <c r="A340">
        <v>4432</v>
      </c>
      <c r="B340" t="s">
        <v>1310</v>
      </c>
      <c r="C340" t="s">
        <v>1311</v>
      </c>
      <c r="D340" t="str">
        <f>T("57023")</f>
        <v>57023</v>
      </c>
      <c r="E340" t="s">
        <v>1312</v>
      </c>
      <c r="F340" t="s">
        <v>1300</v>
      </c>
      <c r="G340" t="s">
        <v>1222</v>
      </c>
      <c r="H340" t="s">
        <v>21</v>
      </c>
      <c r="I340" t="str">
        <f>T("0586686294")</f>
        <v>0586686294</v>
      </c>
      <c r="J340" t="str">
        <f>T("0586686294")</f>
        <v>0586686294</v>
      </c>
      <c r="K340" t="s">
        <v>1313</v>
      </c>
    </row>
    <row r="341" spans="1:11">
      <c r="A341">
        <v>4433</v>
      </c>
      <c r="B341" t="s">
        <v>1314</v>
      </c>
      <c r="C341" t="s">
        <v>1315</v>
      </c>
      <c r="D341" t="str">
        <f>T("57037")</f>
        <v>57037</v>
      </c>
      <c r="E341" t="s">
        <v>1316</v>
      </c>
      <c r="F341" t="s">
        <v>1300</v>
      </c>
      <c r="G341" t="s">
        <v>1222</v>
      </c>
      <c r="H341" t="s">
        <v>21</v>
      </c>
      <c r="I341" t="str">
        <f>T("0565915131")</f>
        <v>0565915131</v>
      </c>
      <c r="J341" t="str">
        <f>T("0565914619")</f>
        <v>0565914619</v>
      </c>
      <c r="K341" t="s">
        <v>1317</v>
      </c>
    </row>
    <row r="342" spans="1:11">
      <c r="A342">
        <v>4503</v>
      </c>
      <c r="B342" t="s">
        <v>1318</v>
      </c>
      <c r="C342" t="s">
        <v>1319</v>
      </c>
      <c r="D342" t="str">
        <f>T("55047")</f>
        <v>55047</v>
      </c>
      <c r="E342" t="s">
        <v>1320</v>
      </c>
      <c r="F342" t="s">
        <v>1321</v>
      </c>
      <c r="G342" t="s">
        <v>1222</v>
      </c>
      <c r="H342" t="s">
        <v>21</v>
      </c>
      <c r="I342" t="str">
        <f>T("0584769222")</f>
        <v>0584769222</v>
      </c>
      <c r="J342" t="str">
        <f>T("0584769222")</f>
        <v>0584769222</v>
      </c>
      <c r="K342" t="s">
        <v>1322</v>
      </c>
    </row>
    <row r="343" spans="1:11">
      <c r="A343">
        <v>4515</v>
      </c>
      <c r="B343" t="s">
        <v>1323</v>
      </c>
      <c r="C343" t="s">
        <v>1324</v>
      </c>
      <c r="D343" t="str">
        <f>T("55045")</f>
        <v>55045</v>
      </c>
      <c r="E343" t="s">
        <v>1325</v>
      </c>
      <c r="F343" t="s">
        <v>1321</v>
      </c>
      <c r="G343" t="s">
        <v>1222</v>
      </c>
      <c r="H343" t="s">
        <v>21</v>
      </c>
      <c r="I343" t="str">
        <f>T("058470648")</f>
        <v>058470648</v>
      </c>
      <c r="J343" t="str">
        <f>T("058470648")</f>
        <v>058470648</v>
      </c>
      <c r="K343" t="s">
        <v>1326</v>
      </c>
    </row>
    <row r="344" spans="1:11">
      <c r="A344">
        <v>4516</v>
      </c>
      <c r="B344" t="s">
        <v>1327</v>
      </c>
      <c r="C344" t="s">
        <v>1328</v>
      </c>
      <c r="D344" t="str">
        <f>T("55016")</f>
        <v>55016</v>
      </c>
      <c r="E344" t="s">
        <v>1329</v>
      </c>
      <c r="F344" t="s">
        <v>1321</v>
      </c>
      <c r="G344" t="s">
        <v>1222</v>
      </c>
      <c r="H344" t="s">
        <v>21</v>
      </c>
      <c r="I344" t="str">
        <f>T("0583295795")</f>
        <v>0583295795</v>
      </c>
      <c r="J344" t="str">
        <f>T("0583299804")</f>
        <v>0583299804</v>
      </c>
      <c r="K344" t="s">
        <v>1330</v>
      </c>
    </row>
    <row r="345" spans="1:11">
      <c r="A345">
        <v>4521</v>
      </c>
      <c r="B345" t="s">
        <v>1331</v>
      </c>
      <c r="C345" t="s">
        <v>1332</v>
      </c>
      <c r="D345" t="str">
        <f>T("55049")</f>
        <v>55049</v>
      </c>
      <c r="E345" t="s">
        <v>1333</v>
      </c>
      <c r="F345" t="s">
        <v>1321</v>
      </c>
      <c r="G345" t="s">
        <v>1222</v>
      </c>
      <c r="H345" t="s">
        <v>21</v>
      </c>
      <c r="I345" t="str">
        <f>T("058445497")</f>
        <v>058445497</v>
      </c>
      <c r="J345" t="str">
        <f>T("0584943598")</f>
        <v>0584943598</v>
      </c>
      <c r="K345" t="s">
        <v>1334</v>
      </c>
    </row>
    <row r="346" spans="1:11">
      <c r="A346">
        <v>4523</v>
      </c>
      <c r="B346" t="s">
        <v>1335</v>
      </c>
      <c r="C346" t="s">
        <v>1336</v>
      </c>
      <c r="D346" t="str">
        <f>T("55100")</f>
        <v>55100</v>
      </c>
      <c r="E346" t="s">
        <v>1337</v>
      </c>
      <c r="F346" t="s">
        <v>1321</v>
      </c>
      <c r="G346" t="s">
        <v>1222</v>
      </c>
      <c r="H346" t="s">
        <v>21</v>
      </c>
      <c r="I346" t="str">
        <f>T("0583490300")</f>
        <v>0583490300</v>
      </c>
      <c r="J346" t="str">
        <f>T("0583491926")</f>
        <v>0583491926</v>
      </c>
      <c r="K346" t="s">
        <v>1338</v>
      </c>
    </row>
    <row r="347" spans="1:11">
      <c r="A347">
        <v>4525</v>
      </c>
      <c r="B347" t="s">
        <v>408</v>
      </c>
      <c r="C347" t="s">
        <v>1339</v>
      </c>
      <c r="D347" t="str">
        <f>T("55032")</f>
        <v>55032</v>
      </c>
      <c r="E347" t="s">
        <v>1340</v>
      </c>
      <c r="F347" t="s">
        <v>1321</v>
      </c>
      <c r="G347" t="s">
        <v>1222</v>
      </c>
      <c r="H347" t="s">
        <v>21</v>
      </c>
      <c r="I347" t="str">
        <f>T("0583641089")</f>
        <v>0583641089</v>
      </c>
      <c r="J347" t="str">
        <f>T("0583648421")</f>
        <v>0583648421</v>
      </c>
      <c r="K347" t="s">
        <v>1341</v>
      </c>
    </row>
    <row r="348" spans="1:11">
      <c r="A348">
        <v>4611</v>
      </c>
      <c r="B348" t="s">
        <v>1342</v>
      </c>
      <c r="C348" t="s">
        <v>1343</v>
      </c>
      <c r="D348" t="str">
        <f>T("54033")</f>
        <v>54033</v>
      </c>
      <c r="E348" t="s">
        <v>1344</v>
      </c>
      <c r="F348" t="s">
        <v>1345</v>
      </c>
      <c r="G348" t="s">
        <v>1222</v>
      </c>
      <c r="H348" t="s">
        <v>21</v>
      </c>
      <c r="I348" t="str">
        <f>T("058570434")</f>
        <v>058570434</v>
      </c>
      <c r="J348" t="str">
        <f>T("0585757287")</f>
        <v>0585757287</v>
      </c>
      <c r="K348" t="s">
        <v>1346</v>
      </c>
    </row>
    <row r="349" spans="1:11">
      <c r="A349">
        <v>4621</v>
      </c>
      <c r="B349" t="s">
        <v>1347</v>
      </c>
      <c r="C349" t="s">
        <v>1348</v>
      </c>
      <c r="D349" t="str">
        <f>T("54100")</f>
        <v>54100</v>
      </c>
      <c r="E349" t="s">
        <v>1349</v>
      </c>
      <c r="F349" t="s">
        <v>1345</v>
      </c>
      <c r="G349" t="s">
        <v>1222</v>
      </c>
      <c r="H349" t="s">
        <v>21</v>
      </c>
      <c r="I349" t="str">
        <f>T("0585489389")</f>
        <v>0585489389</v>
      </c>
      <c r="J349" t="str">
        <f>T("0585886478")</f>
        <v>0585886478</v>
      </c>
      <c r="K349" t="s">
        <v>1350</v>
      </c>
    </row>
    <row r="350" spans="1:11">
      <c r="A350">
        <v>4713</v>
      </c>
      <c r="B350" t="s">
        <v>1351</v>
      </c>
      <c r="C350" t="s">
        <v>1352</v>
      </c>
      <c r="D350" t="str">
        <f>T("56029")</f>
        <v>56029</v>
      </c>
      <c r="E350" t="s">
        <v>1353</v>
      </c>
      <c r="F350" t="s">
        <v>1354</v>
      </c>
      <c r="G350" t="s">
        <v>1222</v>
      </c>
      <c r="H350" t="s">
        <v>21</v>
      </c>
      <c r="I350" t="str">
        <f>T("057131233")</f>
        <v>057131233</v>
      </c>
      <c r="J350" t="str">
        <f>T("057130748")</f>
        <v>057130748</v>
      </c>
      <c r="K350" t="s">
        <v>1355</v>
      </c>
    </row>
    <row r="351" spans="1:11">
      <c r="A351">
        <v>4716</v>
      </c>
      <c r="B351" t="s">
        <v>1356</v>
      </c>
      <c r="C351" t="s">
        <v>1357</v>
      </c>
      <c r="D351" t="str">
        <f>T("56021")</f>
        <v>56021</v>
      </c>
      <c r="E351" t="s">
        <v>1358</v>
      </c>
      <c r="F351" t="s">
        <v>1354</v>
      </c>
      <c r="G351" t="s">
        <v>1222</v>
      </c>
      <c r="H351" t="s">
        <v>21</v>
      </c>
      <c r="I351" t="str">
        <f>T("050702645")</f>
        <v>050702645</v>
      </c>
      <c r="J351" t="str">
        <f>T("050712894")</f>
        <v>050712894</v>
      </c>
      <c r="K351" t="s">
        <v>1359</v>
      </c>
    </row>
    <row r="352" spans="1:11">
      <c r="A352">
        <v>4717</v>
      </c>
      <c r="B352" t="s">
        <v>1360</v>
      </c>
      <c r="C352" t="s">
        <v>1361</v>
      </c>
      <c r="D352" t="str">
        <f>T("56022")</f>
        <v>56022</v>
      </c>
      <c r="E352" t="s">
        <v>1362</v>
      </c>
      <c r="F352" t="s">
        <v>1354</v>
      </c>
      <c r="G352" t="s">
        <v>1222</v>
      </c>
      <c r="H352" t="s">
        <v>21</v>
      </c>
      <c r="I352" t="str">
        <f>T("0571480441")</f>
        <v>0571480441</v>
      </c>
      <c r="J352" t="str">
        <f>T("0571480306")</f>
        <v>0571480306</v>
      </c>
      <c r="K352" t="s">
        <v>1363</v>
      </c>
    </row>
    <row r="353" spans="1:11">
      <c r="A353">
        <v>4719</v>
      </c>
      <c r="B353" t="s">
        <v>1364</v>
      </c>
      <c r="C353" t="s">
        <v>1365</v>
      </c>
      <c r="D353" t="str">
        <f>T("56038")</f>
        <v>56038</v>
      </c>
      <c r="E353" t="s">
        <v>1366</v>
      </c>
      <c r="F353" t="s">
        <v>1354</v>
      </c>
      <c r="G353" t="s">
        <v>1222</v>
      </c>
      <c r="H353" t="s">
        <v>21</v>
      </c>
      <c r="I353" t="str">
        <f>T("0587730028")</f>
        <v>0587730028</v>
      </c>
      <c r="J353" t="str">
        <f>T("0587467812")</f>
        <v>0587467812</v>
      </c>
      <c r="K353" t="s">
        <v>1367</v>
      </c>
    </row>
    <row r="354" spans="1:11">
      <c r="A354">
        <v>4720</v>
      </c>
      <c r="B354" t="s">
        <v>856</v>
      </c>
      <c r="C354" t="s">
        <v>1368</v>
      </c>
      <c r="D354" t="str">
        <f>T("56025")</f>
        <v>56025</v>
      </c>
      <c r="E354" t="s">
        <v>1369</v>
      </c>
      <c r="F354" t="s">
        <v>1354</v>
      </c>
      <c r="G354" t="s">
        <v>1222</v>
      </c>
      <c r="H354" t="s">
        <v>21</v>
      </c>
      <c r="I354" t="str">
        <f>T("058757298")</f>
        <v>058757298</v>
      </c>
      <c r="J354" t="str">
        <f>T("0587279798")</f>
        <v>0587279798</v>
      </c>
      <c r="K354" t="s">
        <v>1370</v>
      </c>
    </row>
    <row r="355" spans="1:11">
      <c r="A355">
        <v>4725</v>
      </c>
      <c r="B355" t="s">
        <v>1371</v>
      </c>
      <c r="C355" t="s">
        <v>1372</v>
      </c>
      <c r="D355" t="str">
        <f>T("56028")</f>
        <v>56028</v>
      </c>
      <c r="E355" t="s">
        <v>1373</v>
      </c>
      <c r="F355" t="s">
        <v>1354</v>
      </c>
      <c r="G355" t="s">
        <v>1222</v>
      </c>
      <c r="H355" t="s">
        <v>21</v>
      </c>
      <c r="I355" t="str">
        <f>T("0571401388")</f>
        <v>0571401388</v>
      </c>
      <c r="J355" t="str">
        <f>T("0571444165")</f>
        <v>0571444165</v>
      </c>
      <c r="K355" t="s">
        <v>1374</v>
      </c>
    </row>
    <row r="356" spans="1:11">
      <c r="A356">
        <v>4730</v>
      </c>
      <c r="B356" t="s">
        <v>1375</v>
      </c>
      <c r="C356" t="s">
        <v>1376</v>
      </c>
      <c r="D356" t="str">
        <f>T("56125")</f>
        <v>56125</v>
      </c>
      <c r="E356" t="s">
        <v>1377</v>
      </c>
      <c r="F356" t="s">
        <v>1354</v>
      </c>
      <c r="G356" t="s">
        <v>1222</v>
      </c>
      <c r="H356" t="s">
        <v>21</v>
      </c>
      <c r="I356" t="str">
        <f>T("05045115")</f>
        <v>05045115</v>
      </c>
      <c r="J356" t="str">
        <f>T("05045115")</f>
        <v>05045115</v>
      </c>
      <c r="K356" t="s">
        <v>1378</v>
      </c>
    </row>
    <row r="357" spans="1:11">
      <c r="A357">
        <v>4826</v>
      </c>
      <c r="B357" t="s">
        <v>1379</v>
      </c>
      <c r="C357" t="s">
        <v>1380</v>
      </c>
      <c r="D357" t="str">
        <f>T("51100")</f>
        <v>51100</v>
      </c>
      <c r="E357" t="s">
        <v>1381</v>
      </c>
      <c r="F357" t="s">
        <v>1382</v>
      </c>
      <c r="G357" t="s">
        <v>1222</v>
      </c>
      <c r="H357" t="s">
        <v>21</v>
      </c>
      <c r="I357" t="str">
        <f>T("057326131")</f>
        <v>057326131</v>
      </c>
      <c r="J357" t="str">
        <f>T("057326131")</f>
        <v>057326131</v>
      </c>
      <c r="K357" t="s">
        <v>1383</v>
      </c>
    </row>
    <row r="358" spans="1:11">
      <c r="A358">
        <v>4918</v>
      </c>
      <c r="B358" t="s">
        <v>1384</v>
      </c>
      <c r="C358" t="s">
        <v>1385</v>
      </c>
      <c r="D358" t="str">
        <f>T("53048")</f>
        <v>53048</v>
      </c>
      <c r="E358" t="s">
        <v>1386</v>
      </c>
      <c r="F358" t="s">
        <v>63</v>
      </c>
      <c r="G358" t="s">
        <v>1222</v>
      </c>
      <c r="H358" t="s">
        <v>21</v>
      </c>
      <c r="I358" t="str">
        <f>T("0577679654")</f>
        <v>0577679654</v>
      </c>
      <c r="J358" t="str">
        <f>T("0577679654")</f>
        <v>0577679654</v>
      </c>
      <c r="K358" t="s">
        <v>1387</v>
      </c>
    </row>
    <row r="359" spans="1:11">
      <c r="A359">
        <v>4923</v>
      </c>
      <c r="B359" t="s">
        <v>804</v>
      </c>
      <c r="C359" t="s">
        <v>1388</v>
      </c>
      <c r="D359" t="str">
        <f>T("53100")</f>
        <v>53100</v>
      </c>
      <c r="E359" t="s">
        <v>1389</v>
      </c>
      <c r="F359" t="s">
        <v>63</v>
      </c>
      <c r="G359" t="s">
        <v>1222</v>
      </c>
      <c r="H359" t="s">
        <v>21</v>
      </c>
      <c r="I359" t="str">
        <f>T("0577285404")</f>
        <v>0577285404</v>
      </c>
      <c r="J359" t="str">
        <f>T("057746964")</f>
        <v>057746964</v>
      </c>
      <c r="K359" t="s">
        <v>1390</v>
      </c>
    </row>
    <row r="360" spans="1:11">
      <c r="A360">
        <v>4926</v>
      </c>
      <c r="B360" t="s">
        <v>1391</v>
      </c>
      <c r="C360" t="s">
        <v>1392</v>
      </c>
      <c r="D360" t="str">
        <f>T("53042")</f>
        <v>53042</v>
      </c>
      <c r="E360" t="s">
        <v>1393</v>
      </c>
      <c r="F360" t="s">
        <v>63</v>
      </c>
      <c r="G360" t="s">
        <v>1222</v>
      </c>
      <c r="H360" t="s">
        <v>21</v>
      </c>
      <c r="I360" t="str">
        <f>T("057862703")</f>
        <v>057862703</v>
      </c>
      <c r="J360" t="str">
        <f>T("057862703")</f>
        <v>057862703</v>
      </c>
      <c r="K360" t="s">
        <v>1394</v>
      </c>
    </row>
    <row r="361" spans="1:11">
      <c r="A361">
        <v>4927</v>
      </c>
      <c r="B361" t="s">
        <v>1395</v>
      </c>
      <c r="C361" t="s">
        <v>1396</v>
      </c>
      <c r="D361" t="str">
        <f>T("53049")</f>
        <v>53049</v>
      </c>
      <c r="E361" t="s">
        <v>1397</v>
      </c>
      <c r="F361" t="s">
        <v>63</v>
      </c>
      <c r="G361" t="s">
        <v>1222</v>
      </c>
      <c r="H361" t="s">
        <v>21</v>
      </c>
      <c r="I361" t="str">
        <f>T("0577688085")</f>
        <v>0577688085</v>
      </c>
      <c r="J361" t="str">
        <f>T("0577687722")</f>
        <v>0577687722</v>
      </c>
      <c r="K361" t="s">
        <v>1398</v>
      </c>
    </row>
    <row r="362" spans="1:11">
      <c r="A362">
        <v>5003</v>
      </c>
      <c r="B362" t="s">
        <v>1399</v>
      </c>
      <c r="C362" t="s">
        <v>1400</v>
      </c>
      <c r="D362" t="str">
        <f>T("06124")</f>
        <v>06124</v>
      </c>
      <c r="E362" t="s">
        <v>1401</v>
      </c>
      <c r="F362" t="s">
        <v>1402</v>
      </c>
      <c r="G362" t="s">
        <v>1403</v>
      </c>
      <c r="H362" t="s">
        <v>21</v>
      </c>
      <c r="I362" t="str">
        <f>T("07531122")</f>
        <v>07531122</v>
      </c>
      <c r="J362" t="str">
        <f>T("")</f>
        <v/>
      </c>
      <c r="K362" t="s">
        <v>1404</v>
      </c>
    </row>
    <row r="363" spans="1:11">
      <c r="A363">
        <v>5016</v>
      </c>
      <c r="B363" t="s">
        <v>1405</v>
      </c>
      <c r="C363" t="s">
        <v>1406</v>
      </c>
      <c r="D363" t="str">
        <f>T("06012")</f>
        <v>06012</v>
      </c>
      <c r="E363" t="s">
        <v>1407</v>
      </c>
      <c r="F363" t="s">
        <v>1402</v>
      </c>
      <c r="G363" t="s">
        <v>1403</v>
      </c>
      <c r="H363" t="s">
        <v>21</v>
      </c>
      <c r="I363" t="str">
        <f>T("0758556587")</f>
        <v>0758556587</v>
      </c>
      <c r="J363" t="str">
        <f>T("0758556587")</f>
        <v>0758556587</v>
      </c>
      <c r="K363" t="s">
        <v>1408</v>
      </c>
    </row>
    <row r="364" spans="1:11">
      <c r="A364">
        <v>5023</v>
      </c>
      <c r="B364" t="s">
        <v>1409</v>
      </c>
      <c r="C364" t="s">
        <v>1410</v>
      </c>
      <c r="D364" t="str">
        <f>T("06059")</f>
        <v>06059</v>
      </c>
      <c r="E364" t="s">
        <v>1411</v>
      </c>
      <c r="F364" t="s">
        <v>1402</v>
      </c>
      <c r="G364" t="s">
        <v>1403</v>
      </c>
      <c r="H364" t="s">
        <v>21</v>
      </c>
      <c r="I364" t="str">
        <f>T("0758944200")</f>
        <v>0758944200</v>
      </c>
      <c r="J364" t="str">
        <f>T("0759070130")</f>
        <v>0759070130</v>
      </c>
      <c r="K364" t="s">
        <v>1412</v>
      </c>
    </row>
    <row r="365" spans="1:11">
      <c r="A365">
        <v>5026</v>
      </c>
      <c r="B365" t="s">
        <v>1413</v>
      </c>
      <c r="C365" t="s">
        <v>1414</v>
      </c>
      <c r="D365" t="str">
        <f>T("06132")</f>
        <v>06132</v>
      </c>
      <c r="E365" t="s">
        <v>1401</v>
      </c>
      <c r="F365" t="s">
        <v>1402</v>
      </c>
      <c r="G365" t="s">
        <v>1403</v>
      </c>
      <c r="H365" t="s">
        <v>21</v>
      </c>
      <c r="I365" t="str">
        <f>T("0755280077")</f>
        <v>0755280077</v>
      </c>
      <c r="J365" t="str">
        <f>T("0755280077")</f>
        <v>0755280077</v>
      </c>
      <c r="K365" t="s">
        <v>1415</v>
      </c>
    </row>
    <row r="366" spans="1:11">
      <c r="A366">
        <v>5031</v>
      </c>
      <c r="B366" t="s">
        <v>1416</v>
      </c>
      <c r="C366" t="s">
        <v>1417</v>
      </c>
      <c r="D366" t="str">
        <f>T("06019")</f>
        <v>06019</v>
      </c>
      <c r="E366" t="s">
        <v>1418</v>
      </c>
      <c r="F366" t="s">
        <v>1402</v>
      </c>
      <c r="G366" t="s">
        <v>1403</v>
      </c>
      <c r="H366" t="s">
        <v>21</v>
      </c>
      <c r="I366" t="str">
        <f>T("0759417525")</f>
        <v>0759417525</v>
      </c>
      <c r="J366" t="str">
        <f>T("0759417525")</f>
        <v>0759417525</v>
      </c>
      <c r="K366" t="s">
        <v>1419</v>
      </c>
    </row>
    <row r="367" spans="1:11">
      <c r="A367">
        <v>5038</v>
      </c>
      <c r="B367" t="s">
        <v>1420</v>
      </c>
      <c r="C367" t="s">
        <v>1421</v>
      </c>
      <c r="D367" t="str">
        <f>T("06023")</f>
        <v>06023</v>
      </c>
      <c r="E367" t="s">
        <v>1422</v>
      </c>
      <c r="F367" t="s">
        <v>1402</v>
      </c>
      <c r="G367" t="s">
        <v>1403</v>
      </c>
      <c r="H367" t="s">
        <v>21</v>
      </c>
      <c r="I367" t="str">
        <f>T("0759145066")</f>
        <v>0759145066</v>
      </c>
      <c r="J367" t="str">
        <f>T("075912143")</f>
        <v>075912143</v>
      </c>
      <c r="K367" t="s">
        <v>1423</v>
      </c>
    </row>
    <row r="368" spans="1:11">
      <c r="A368">
        <v>5039</v>
      </c>
      <c r="B368" t="s">
        <v>1424</v>
      </c>
      <c r="C368" t="s">
        <v>1425</v>
      </c>
      <c r="D368" t="str">
        <f>T("06024")</f>
        <v>06024</v>
      </c>
      <c r="E368" t="s">
        <v>1426</v>
      </c>
      <c r="F368" t="s">
        <v>1402</v>
      </c>
      <c r="G368" t="s">
        <v>1403</v>
      </c>
      <c r="H368" t="s">
        <v>21</v>
      </c>
      <c r="I368" t="str">
        <f>T("0759272385")</f>
        <v>0759272385</v>
      </c>
      <c r="J368" t="str">
        <f>T("0759272385")</f>
        <v>0759272385</v>
      </c>
      <c r="K368" t="s">
        <v>1427</v>
      </c>
    </row>
    <row r="369" spans="1:11">
      <c r="A369">
        <v>5040</v>
      </c>
      <c r="B369" t="s">
        <v>1428</v>
      </c>
      <c r="C369" t="s">
        <v>1429</v>
      </c>
      <c r="D369" t="str">
        <f>T("06083")</f>
        <v>06083</v>
      </c>
      <c r="E369" t="s">
        <v>1430</v>
      </c>
      <c r="F369" t="s">
        <v>1402</v>
      </c>
      <c r="G369" t="s">
        <v>1403</v>
      </c>
      <c r="H369" t="s">
        <v>21</v>
      </c>
      <c r="I369" t="str">
        <f>T("0758001711")</f>
        <v>0758001711</v>
      </c>
      <c r="J369" t="str">
        <f>T("0758001711")</f>
        <v>0758001711</v>
      </c>
      <c r="K369" t="s">
        <v>1431</v>
      </c>
    </row>
    <row r="370" spans="1:11">
      <c r="A370">
        <v>5041</v>
      </c>
      <c r="B370" t="s">
        <v>1432</v>
      </c>
      <c r="C370" t="s">
        <v>1433</v>
      </c>
      <c r="D370" t="str">
        <f>T("06135")</f>
        <v>06135</v>
      </c>
      <c r="E370" t="s">
        <v>1434</v>
      </c>
      <c r="F370" t="s">
        <v>1402</v>
      </c>
      <c r="G370" t="s">
        <v>1403</v>
      </c>
      <c r="H370" t="s">
        <v>21</v>
      </c>
      <c r="I370" t="str">
        <f>T("075393777")</f>
        <v>075393777</v>
      </c>
      <c r="J370" t="str">
        <f>T("075393777")</f>
        <v>075393777</v>
      </c>
      <c r="K370" t="s">
        <v>1431</v>
      </c>
    </row>
    <row r="371" spans="1:11">
      <c r="A371">
        <v>5042</v>
      </c>
      <c r="B371" t="s">
        <v>1435</v>
      </c>
      <c r="C371" t="s">
        <v>1436</v>
      </c>
      <c r="D371" t="str">
        <f>T("06034")</f>
        <v>06034</v>
      </c>
      <c r="E371" t="s">
        <v>1437</v>
      </c>
      <c r="F371" t="s">
        <v>1402</v>
      </c>
      <c r="G371" t="s">
        <v>1403</v>
      </c>
      <c r="H371" t="s">
        <v>21</v>
      </c>
      <c r="I371" t="str">
        <f>T("074222973")</f>
        <v>074222973</v>
      </c>
      <c r="J371" t="str">
        <f>T("074222973")</f>
        <v>074222973</v>
      </c>
      <c r="K371" t="s">
        <v>1438</v>
      </c>
    </row>
    <row r="372" spans="1:11">
      <c r="A372">
        <v>5111</v>
      </c>
      <c r="B372" t="s">
        <v>1439</v>
      </c>
      <c r="C372" t="s">
        <v>1440</v>
      </c>
      <c r="D372" t="str">
        <f>T("05018")</f>
        <v>05018</v>
      </c>
      <c r="E372" t="s">
        <v>1441</v>
      </c>
      <c r="F372" t="s">
        <v>1442</v>
      </c>
      <c r="G372" t="s">
        <v>1403</v>
      </c>
      <c r="H372" t="s">
        <v>21</v>
      </c>
      <c r="I372" t="str">
        <f>T("0763305315")</f>
        <v>0763305315</v>
      </c>
      <c r="J372" t="str">
        <f>T("0763305315")</f>
        <v>0763305315</v>
      </c>
      <c r="K372" t="s">
        <v>1443</v>
      </c>
    </row>
    <row r="373" spans="1:11">
      <c r="A373">
        <v>5118</v>
      </c>
      <c r="B373" t="s">
        <v>1444</v>
      </c>
      <c r="C373" t="s">
        <v>1445</v>
      </c>
      <c r="D373" t="str">
        <f>T("05100")</f>
        <v>05100</v>
      </c>
      <c r="E373" t="s">
        <v>1446</v>
      </c>
      <c r="F373" t="s">
        <v>1442</v>
      </c>
      <c r="G373" t="s">
        <v>1403</v>
      </c>
      <c r="H373" t="s">
        <v>21</v>
      </c>
      <c r="I373" t="str">
        <f>T("0744811978")</f>
        <v>0744811978</v>
      </c>
      <c r="J373" t="str">
        <f>T("0744811978")</f>
        <v>0744811978</v>
      </c>
      <c r="K373" t="s">
        <v>1447</v>
      </c>
    </row>
    <row r="374" spans="1:11">
      <c r="A374">
        <v>5119</v>
      </c>
      <c r="B374" t="s">
        <v>1448</v>
      </c>
      <c r="C374" t="s">
        <v>1449</v>
      </c>
      <c r="D374" t="str">
        <f>T("05100")</f>
        <v>05100</v>
      </c>
      <c r="E374" t="s">
        <v>1446</v>
      </c>
      <c r="F374" t="s">
        <v>1442</v>
      </c>
      <c r="G374" t="s">
        <v>1403</v>
      </c>
      <c r="H374" t="s">
        <v>21</v>
      </c>
      <c r="I374" t="str">
        <f>T("0744402145")</f>
        <v>0744402145</v>
      </c>
      <c r="J374" t="str">
        <f>T("")</f>
        <v/>
      </c>
      <c r="K374" t="s">
        <v>1450</v>
      </c>
    </row>
    <row r="375" spans="1:11">
      <c r="A375">
        <v>5223</v>
      </c>
      <c r="B375" t="s">
        <v>1451</v>
      </c>
      <c r="C375" t="s">
        <v>1452</v>
      </c>
      <c r="D375" t="str">
        <f>T("60035")</f>
        <v>60035</v>
      </c>
      <c r="E375" t="s">
        <v>1453</v>
      </c>
      <c r="F375" t="s">
        <v>1454</v>
      </c>
      <c r="G375" t="s">
        <v>1455</v>
      </c>
      <c r="H375" t="s">
        <v>21</v>
      </c>
      <c r="I375" t="str">
        <f>T("0731209100")</f>
        <v>0731209100</v>
      </c>
      <c r="J375" t="str">
        <f>T("0731215035")</f>
        <v>0731215035</v>
      </c>
      <c r="K375" t="s">
        <v>1456</v>
      </c>
    </row>
    <row r="376" spans="1:11">
      <c r="A376">
        <v>5231</v>
      </c>
      <c r="B376" t="s">
        <v>1457</v>
      </c>
      <c r="C376" t="s">
        <v>1458</v>
      </c>
      <c r="D376" t="str">
        <f>T("60125")</f>
        <v>60125</v>
      </c>
      <c r="E376" t="s">
        <v>1459</v>
      </c>
      <c r="F376" t="s">
        <v>1454</v>
      </c>
      <c r="G376" t="s">
        <v>1455</v>
      </c>
      <c r="H376" t="s">
        <v>21</v>
      </c>
      <c r="I376" t="str">
        <f>T("0712802425")</f>
        <v>0712802425</v>
      </c>
      <c r="J376" t="str">
        <f>T("0712802425")</f>
        <v>0712802425</v>
      </c>
      <c r="K376" t="s">
        <v>1460</v>
      </c>
    </row>
    <row r="377" spans="1:11">
      <c r="A377">
        <v>5232</v>
      </c>
      <c r="B377" t="s">
        <v>1461</v>
      </c>
      <c r="C377" t="s">
        <v>1462</v>
      </c>
      <c r="D377" t="str">
        <f>T("60121")</f>
        <v>60121</v>
      </c>
      <c r="E377" t="s">
        <v>1459</v>
      </c>
      <c r="F377" t="s">
        <v>1454</v>
      </c>
      <c r="G377" t="s">
        <v>1455</v>
      </c>
      <c r="H377" t="s">
        <v>21</v>
      </c>
      <c r="I377" t="str">
        <f>T("071206308")</f>
        <v>071206308</v>
      </c>
      <c r="J377" t="str">
        <f>T("071206308")</f>
        <v>071206308</v>
      </c>
      <c r="K377" t="s">
        <v>1463</v>
      </c>
    </row>
    <row r="378" spans="1:11">
      <c r="A378">
        <v>5233</v>
      </c>
      <c r="B378" t="s">
        <v>1464</v>
      </c>
      <c r="C378" t="s">
        <v>1465</v>
      </c>
      <c r="D378" t="str">
        <f>T("60131")</f>
        <v>60131</v>
      </c>
      <c r="E378" t="s">
        <v>1459</v>
      </c>
      <c r="F378" t="s">
        <v>1454</v>
      </c>
      <c r="G378" t="s">
        <v>1455</v>
      </c>
      <c r="H378" t="s">
        <v>21</v>
      </c>
      <c r="I378" t="str">
        <f>T("0718046185")</f>
        <v>0718046185</v>
      </c>
      <c r="J378" t="str">
        <f>T("0718046185")</f>
        <v>0718046185</v>
      </c>
      <c r="K378" t="s">
        <v>1466</v>
      </c>
    </row>
    <row r="379" spans="1:11">
      <c r="A379">
        <v>5234</v>
      </c>
      <c r="B379" t="s">
        <v>1464</v>
      </c>
      <c r="C379" t="s">
        <v>1467</v>
      </c>
      <c r="D379" t="str">
        <f>T("60027")</f>
        <v>60027</v>
      </c>
      <c r="E379" t="s">
        <v>1468</v>
      </c>
      <c r="F379" t="s">
        <v>1454</v>
      </c>
      <c r="G379" t="s">
        <v>1455</v>
      </c>
      <c r="H379" t="s">
        <v>21</v>
      </c>
      <c r="I379" t="str">
        <f>T("071716683")</f>
        <v>071716683</v>
      </c>
      <c r="J379" t="str">
        <f>T("071714331")</f>
        <v>071714331</v>
      </c>
      <c r="K379" t="s">
        <v>1466</v>
      </c>
    </row>
    <row r="380" spans="1:11">
      <c r="A380">
        <v>5237</v>
      </c>
      <c r="B380" t="s">
        <v>1469</v>
      </c>
      <c r="C380" t="s">
        <v>1470</v>
      </c>
      <c r="D380" t="str">
        <f>T("60035")</f>
        <v>60035</v>
      </c>
      <c r="E380" t="s">
        <v>1453</v>
      </c>
      <c r="F380" t="s">
        <v>1454</v>
      </c>
      <c r="G380" t="s">
        <v>1455</v>
      </c>
      <c r="H380" t="s">
        <v>21</v>
      </c>
      <c r="I380" t="str">
        <f>T("07314309")</f>
        <v>07314309</v>
      </c>
      <c r="J380" t="str">
        <f>T("07314309")</f>
        <v>07314309</v>
      </c>
      <c r="K380" t="s">
        <v>1471</v>
      </c>
    </row>
    <row r="381" spans="1:11">
      <c r="A381">
        <v>5239</v>
      </c>
      <c r="B381" t="s">
        <v>1472</v>
      </c>
      <c r="C381" t="s">
        <v>1473</v>
      </c>
      <c r="D381" t="str">
        <f>T("60015")</f>
        <v>60015</v>
      </c>
      <c r="E381" t="s">
        <v>1474</v>
      </c>
      <c r="F381" t="s">
        <v>1454</v>
      </c>
      <c r="G381" t="s">
        <v>1455</v>
      </c>
      <c r="H381" t="s">
        <v>21</v>
      </c>
      <c r="I381" t="str">
        <f>T("071911280")</f>
        <v>071911280</v>
      </c>
      <c r="J381" t="str">
        <f>T("071910037")</f>
        <v>071910037</v>
      </c>
      <c r="K381" t="s">
        <v>1475</v>
      </c>
    </row>
    <row r="382" spans="1:11">
      <c r="A382">
        <v>5241</v>
      </c>
      <c r="B382" t="s">
        <v>1476</v>
      </c>
      <c r="C382" t="s">
        <v>1477</v>
      </c>
      <c r="D382" t="str">
        <f>T("60030")</f>
        <v>60030</v>
      </c>
      <c r="E382" t="s">
        <v>1478</v>
      </c>
      <c r="F382" t="s">
        <v>1454</v>
      </c>
      <c r="G382" t="s">
        <v>1455</v>
      </c>
      <c r="H382" t="s">
        <v>21</v>
      </c>
      <c r="I382" t="str">
        <f>T("0731879504")</f>
        <v>0731879504</v>
      </c>
      <c r="J382" t="str">
        <f>T("0731878199")</f>
        <v>0731878199</v>
      </c>
      <c r="K382" t="s">
        <v>1479</v>
      </c>
    </row>
    <row r="383" spans="1:11">
      <c r="A383">
        <v>5242</v>
      </c>
      <c r="B383" t="s">
        <v>1480</v>
      </c>
      <c r="C383" t="s">
        <v>1481</v>
      </c>
      <c r="D383" t="str">
        <f>T("60019")</f>
        <v>60019</v>
      </c>
      <c r="E383" t="s">
        <v>1482</v>
      </c>
      <c r="F383" t="s">
        <v>1454</v>
      </c>
      <c r="G383" t="s">
        <v>1455</v>
      </c>
      <c r="H383" t="s">
        <v>21</v>
      </c>
      <c r="I383" t="str">
        <f>T("07165024")</f>
        <v>07165024</v>
      </c>
      <c r="J383" t="str">
        <f>T("07165024")</f>
        <v>07165024</v>
      </c>
      <c r="K383" t="s">
        <v>1483</v>
      </c>
    </row>
    <row r="384" spans="1:11">
      <c r="A384">
        <v>5243</v>
      </c>
      <c r="B384" t="s">
        <v>1484</v>
      </c>
      <c r="C384" t="s">
        <v>1485</v>
      </c>
      <c r="D384" t="str">
        <f>T("60033")</f>
        <v>60033</v>
      </c>
      <c r="E384" t="s">
        <v>1486</v>
      </c>
      <c r="F384" t="s">
        <v>1454</v>
      </c>
      <c r="G384" t="s">
        <v>1455</v>
      </c>
      <c r="H384" t="s">
        <v>21</v>
      </c>
      <c r="I384" t="str">
        <f>T("0717451690")</f>
        <v>0717451690</v>
      </c>
      <c r="J384" t="str">
        <f>T("0717451690")</f>
        <v>0717451690</v>
      </c>
      <c r="K384" t="s">
        <v>1487</v>
      </c>
    </row>
    <row r="385" spans="1:11">
      <c r="A385">
        <v>5320</v>
      </c>
      <c r="B385" t="s">
        <v>1488</v>
      </c>
      <c r="C385" t="s">
        <v>1489</v>
      </c>
      <c r="D385" t="str">
        <f>T("63900")</f>
        <v>63900</v>
      </c>
      <c r="E385" t="s">
        <v>1490</v>
      </c>
      <c r="F385" t="s">
        <v>1491</v>
      </c>
      <c r="G385" t="s">
        <v>1455</v>
      </c>
      <c r="H385" t="s">
        <v>21</v>
      </c>
      <c r="I385" t="str">
        <f>T("0734226569")</f>
        <v>0734226569</v>
      </c>
      <c r="J385" t="str">
        <f>T("0734215448")</f>
        <v>0734215448</v>
      </c>
      <c r="K385" t="s">
        <v>1492</v>
      </c>
    </row>
    <row r="386" spans="1:11">
      <c r="A386">
        <v>5330</v>
      </c>
      <c r="B386" t="s">
        <v>1493</v>
      </c>
      <c r="C386" t="s">
        <v>1494</v>
      </c>
      <c r="D386" t="str">
        <f>T("63821")</f>
        <v>63821</v>
      </c>
      <c r="E386" t="s">
        <v>1495</v>
      </c>
      <c r="F386" t="s">
        <v>1491</v>
      </c>
      <c r="G386" t="s">
        <v>1455</v>
      </c>
      <c r="H386" t="s">
        <v>21</v>
      </c>
      <c r="I386" t="str">
        <f>T("0734909832")</f>
        <v>0734909832</v>
      </c>
      <c r="J386" t="str">
        <f>T("0734909832")</f>
        <v>0734909832</v>
      </c>
      <c r="K386" t="s">
        <v>1496</v>
      </c>
    </row>
    <row r="387" spans="1:11">
      <c r="A387">
        <v>5331</v>
      </c>
      <c r="B387" t="s">
        <v>1497</v>
      </c>
      <c r="C387" t="s">
        <v>1498</v>
      </c>
      <c r="D387" t="str">
        <f>T("63074")</f>
        <v>63074</v>
      </c>
      <c r="E387" t="s">
        <v>1499</v>
      </c>
      <c r="F387" t="s">
        <v>1500</v>
      </c>
      <c r="G387" t="s">
        <v>1455</v>
      </c>
      <c r="H387" t="s">
        <v>21</v>
      </c>
      <c r="I387" t="str">
        <f>T("073585512")</f>
        <v>073585512</v>
      </c>
      <c r="J387" t="str">
        <f>T("073585512")</f>
        <v>073585512</v>
      </c>
      <c r="K387" t="s">
        <v>1501</v>
      </c>
    </row>
    <row r="388" spans="1:11">
      <c r="A388">
        <v>5333</v>
      </c>
      <c r="B388" t="s">
        <v>1502</v>
      </c>
      <c r="C388" t="s">
        <v>1503</v>
      </c>
      <c r="D388" t="str">
        <f>T("63822")</f>
        <v>63822</v>
      </c>
      <c r="E388" t="s">
        <v>1504</v>
      </c>
      <c r="F388" t="s">
        <v>1491</v>
      </c>
      <c r="G388" t="s">
        <v>1455</v>
      </c>
      <c r="H388" t="s">
        <v>21</v>
      </c>
      <c r="I388" t="str">
        <f>T("0734674939")</f>
        <v>0734674939</v>
      </c>
      <c r="J388" t="str">
        <f>T("0734674939")</f>
        <v>0734674939</v>
      </c>
      <c r="K388" t="s">
        <v>1505</v>
      </c>
    </row>
    <row r="389" spans="1:11">
      <c r="A389">
        <v>5337</v>
      </c>
      <c r="B389" t="s">
        <v>1506</v>
      </c>
      <c r="C389" t="s">
        <v>1507</v>
      </c>
      <c r="D389" t="str">
        <f>T("63812")</f>
        <v>63812</v>
      </c>
      <c r="E389" t="s">
        <v>1508</v>
      </c>
      <c r="F389" t="s">
        <v>1491</v>
      </c>
      <c r="G389" t="s">
        <v>1455</v>
      </c>
      <c r="H389" t="s">
        <v>21</v>
      </c>
      <c r="I389" t="str">
        <f>T("0734892345")</f>
        <v>0734892345</v>
      </c>
      <c r="J389" t="str">
        <f>T("0734892345")</f>
        <v>0734892345</v>
      </c>
      <c r="K389" t="s">
        <v>1509</v>
      </c>
    </row>
    <row r="390" spans="1:11">
      <c r="A390">
        <v>5338</v>
      </c>
      <c r="B390" t="s">
        <v>1510</v>
      </c>
      <c r="C390" t="s">
        <v>1511</v>
      </c>
      <c r="D390" t="str">
        <f>T("63100")</f>
        <v>63100</v>
      </c>
      <c r="E390" t="s">
        <v>1512</v>
      </c>
      <c r="F390" t="s">
        <v>1500</v>
      </c>
      <c r="G390" t="s">
        <v>1455</v>
      </c>
      <c r="H390" t="s">
        <v>21</v>
      </c>
      <c r="I390" t="str">
        <f>T("073642609")</f>
        <v>073642609</v>
      </c>
      <c r="J390" t="str">
        <f>T("073642609")</f>
        <v>073642609</v>
      </c>
      <c r="K390" t="s">
        <v>1513</v>
      </c>
    </row>
    <row r="391" spans="1:11">
      <c r="A391">
        <v>5401</v>
      </c>
      <c r="B391" t="s">
        <v>1514</v>
      </c>
      <c r="C391" t="s">
        <v>1515</v>
      </c>
      <c r="D391" t="str">
        <f>T("62029")</f>
        <v>62029</v>
      </c>
      <c r="E391" t="s">
        <v>1516</v>
      </c>
      <c r="F391" t="s">
        <v>1517</v>
      </c>
      <c r="G391" t="s">
        <v>1455</v>
      </c>
      <c r="H391" t="s">
        <v>21</v>
      </c>
      <c r="I391" t="str">
        <f>T("0733960848")</f>
        <v>0733960848</v>
      </c>
      <c r="J391" t="str">
        <f>T("0733968377")</f>
        <v>0733968377</v>
      </c>
      <c r="K391" t="s">
        <v>1518</v>
      </c>
    </row>
    <row r="392" spans="1:11">
      <c r="A392">
        <v>5418</v>
      </c>
      <c r="B392" t="s">
        <v>1519</v>
      </c>
      <c r="C392" t="s">
        <v>1520</v>
      </c>
      <c r="D392" t="str">
        <f>T("62024")</f>
        <v>62024</v>
      </c>
      <c r="E392" t="s">
        <v>1521</v>
      </c>
      <c r="F392" t="s">
        <v>1517</v>
      </c>
      <c r="G392" t="s">
        <v>1455</v>
      </c>
      <c r="H392" t="s">
        <v>21</v>
      </c>
      <c r="I392" t="str">
        <f>T("073783201")</f>
        <v>073783201</v>
      </c>
      <c r="J392" t="str">
        <f>T("")</f>
        <v/>
      </c>
      <c r="K392" t="s">
        <v>1522</v>
      </c>
    </row>
    <row r="393" spans="1:11">
      <c r="A393">
        <v>5421</v>
      </c>
      <c r="B393" t="s">
        <v>1523</v>
      </c>
      <c r="C393" t="s">
        <v>1524</v>
      </c>
      <c r="D393" t="str">
        <f>T("62019")</f>
        <v>62019</v>
      </c>
      <c r="E393" t="s">
        <v>1525</v>
      </c>
      <c r="F393" t="s">
        <v>1517</v>
      </c>
      <c r="G393" t="s">
        <v>1455</v>
      </c>
      <c r="H393" t="s">
        <v>21</v>
      </c>
      <c r="I393" t="str">
        <f>T("071980070")</f>
        <v>071980070</v>
      </c>
      <c r="J393" t="str">
        <f>T("0717577086")</f>
        <v>0717577086</v>
      </c>
      <c r="K393" t="s">
        <v>1526</v>
      </c>
    </row>
    <row r="394" spans="1:11">
      <c r="A394">
        <v>5425</v>
      </c>
      <c r="B394" t="s">
        <v>1527</v>
      </c>
      <c r="C394" t="s">
        <v>1528</v>
      </c>
      <c r="D394" t="str">
        <f>T("62100")</f>
        <v>62100</v>
      </c>
      <c r="E394" t="s">
        <v>1529</v>
      </c>
      <c r="F394" t="s">
        <v>1517</v>
      </c>
      <c r="G394" t="s">
        <v>1455</v>
      </c>
      <c r="H394" t="s">
        <v>21</v>
      </c>
      <c r="I394" t="str">
        <f>T("0733230151")</f>
        <v>0733230151</v>
      </c>
      <c r="J394" t="str">
        <f>T("0733232348")</f>
        <v>0733232348</v>
      </c>
      <c r="K394" t="s">
        <v>1530</v>
      </c>
    </row>
    <row r="395" spans="1:11">
      <c r="A395">
        <v>5522</v>
      </c>
      <c r="B395" t="s">
        <v>1531</v>
      </c>
      <c r="C395" t="s">
        <v>1532</v>
      </c>
      <c r="D395" t="str">
        <f>T("61036")</f>
        <v>61036</v>
      </c>
      <c r="E395" t="s">
        <v>1533</v>
      </c>
      <c r="F395" t="s">
        <v>1534</v>
      </c>
      <c r="G395" t="s">
        <v>1455</v>
      </c>
      <c r="H395" t="s">
        <v>21</v>
      </c>
      <c r="I395" t="str">
        <f>T("0721894395")</f>
        <v>0721894395</v>
      </c>
      <c r="J395" t="str">
        <f>T("0721879441")</f>
        <v>0721879441</v>
      </c>
      <c r="K395" t="s">
        <v>1535</v>
      </c>
    </row>
    <row r="396" spans="1:11">
      <c r="A396">
        <v>5523</v>
      </c>
      <c r="B396" t="s">
        <v>1531</v>
      </c>
      <c r="C396" t="s">
        <v>1536</v>
      </c>
      <c r="D396" t="str">
        <f>T("61032")</f>
        <v>61032</v>
      </c>
      <c r="E396" t="s">
        <v>1537</v>
      </c>
      <c r="F396" t="s">
        <v>1534</v>
      </c>
      <c r="G396" t="s">
        <v>1455</v>
      </c>
      <c r="H396" t="s">
        <v>21</v>
      </c>
      <c r="I396" t="str">
        <f>T("0721860850")</f>
        <v>0721860850</v>
      </c>
      <c r="J396" t="str">
        <f>T("0721868623")</f>
        <v>0721868623</v>
      </c>
      <c r="K396" t="s">
        <v>1538</v>
      </c>
    </row>
    <row r="397" spans="1:11">
      <c r="A397">
        <v>5601</v>
      </c>
      <c r="B397" t="s">
        <v>1539</v>
      </c>
      <c r="C397" t="s">
        <v>1540</v>
      </c>
      <c r="D397" t="str">
        <f>T("03012")</f>
        <v>03012</v>
      </c>
      <c r="E397" t="s">
        <v>1541</v>
      </c>
      <c r="F397" t="s">
        <v>1542</v>
      </c>
      <c r="G397" t="s">
        <v>20</v>
      </c>
      <c r="H397" t="s">
        <v>1543</v>
      </c>
      <c r="I397" t="str">
        <f>T("0775768583")</f>
        <v>0775768583</v>
      </c>
      <c r="J397" t="str">
        <f>T("0775768583")</f>
        <v>0775768583</v>
      </c>
      <c r="K397" t="s">
        <v>1544</v>
      </c>
    </row>
    <row r="398" spans="1:11">
      <c r="A398">
        <v>5625</v>
      </c>
      <c r="B398" t="s">
        <v>1545</v>
      </c>
      <c r="C398" t="s">
        <v>1546</v>
      </c>
      <c r="D398" t="str">
        <f>T("03039")</f>
        <v>03039</v>
      </c>
      <c r="E398" t="s">
        <v>1547</v>
      </c>
      <c r="F398" t="s">
        <v>1542</v>
      </c>
      <c r="G398" t="s">
        <v>20</v>
      </c>
      <c r="H398" t="s">
        <v>1543</v>
      </c>
      <c r="I398" t="str">
        <f>T("0776831656")</f>
        <v>0776831656</v>
      </c>
      <c r="J398" t="str">
        <f>T("0776831656")</f>
        <v>0776831656</v>
      </c>
      <c r="K398" t="s">
        <v>1548</v>
      </c>
    </row>
    <row r="399" spans="1:11">
      <c r="A399">
        <v>5626</v>
      </c>
      <c r="B399" t="s">
        <v>1549</v>
      </c>
      <c r="C399" t="s">
        <v>1550</v>
      </c>
      <c r="D399" t="str">
        <f>T("03100")</f>
        <v>03100</v>
      </c>
      <c r="E399" t="s">
        <v>1551</v>
      </c>
      <c r="F399" t="s">
        <v>1542</v>
      </c>
      <c r="G399" t="s">
        <v>20</v>
      </c>
      <c r="H399" t="s">
        <v>1543</v>
      </c>
      <c r="I399" t="str">
        <f>T("0775822061")</f>
        <v>0775822061</v>
      </c>
      <c r="J399" t="str">
        <f>T("0775822061")</f>
        <v>0775822061</v>
      </c>
      <c r="K399" t="s">
        <v>1552</v>
      </c>
    </row>
    <row r="400" spans="1:11">
      <c r="A400">
        <v>5627</v>
      </c>
      <c r="B400" t="s">
        <v>1553</v>
      </c>
      <c r="C400" t="s">
        <v>1554</v>
      </c>
      <c r="D400" t="str">
        <f>T("03043")</f>
        <v>03043</v>
      </c>
      <c r="E400" t="s">
        <v>1555</v>
      </c>
      <c r="F400" t="s">
        <v>1542</v>
      </c>
      <c r="G400" t="s">
        <v>20</v>
      </c>
      <c r="H400" t="s">
        <v>1543</v>
      </c>
      <c r="I400" t="str">
        <f>T("077622479")</f>
        <v>077622479</v>
      </c>
      <c r="J400" t="str">
        <f>T("077622479")</f>
        <v>077622479</v>
      </c>
      <c r="K400" t="s">
        <v>1556</v>
      </c>
    </row>
    <row r="401" spans="1:11">
      <c r="A401">
        <v>5701</v>
      </c>
      <c r="B401" t="s">
        <v>1557</v>
      </c>
      <c r="C401" t="s">
        <v>1558</v>
      </c>
      <c r="D401" t="str">
        <f>T("04100")</f>
        <v>04100</v>
      </c>
      <c r="E401" t="s">
        <v>1559</v>
      </c>
      <c r="F401" t="s">
        <v>1560</v>
      </c>
      <c r="G401" t="s">
        <v>20</v>
      </c>
      <c r="H401" t="s">
        <v>1543</v>
      </c>
      <c r="I401" t="str">
        <f>T("0773692826")</f>
        <v>0773692826</v>
      </c>
      <c r="J401" t="str">
        <f>T("0773692826")</f>
        <v>0773692826</v>
      </c>
      <c r="K401" t="s">
        <v>1561</v>
      </c>
    </row>
    <row r="402" spans="1:11">
      <c r="A402">
        <v>5703</v>
      </c>
      <c r="B402" t="s">
        <v>1562</v>
      </c>
      <c r="C402" t="s">
        <v>1563</v>
      </c>
      <c r="D402" t="str">
        <f>T("04019")</f>
        <v>04019</v>
      </c>
      <c r="E402" t="s">
        <v>1564</v>
      </c>
      <c r="F402" t="s">
        <v>1560</v>
      </c>
      <c r="G402" t="s">
        <v>20</v>
      </c>
      <c r="H402" t="s">
        <v>1543</v>
      </c>
      <c r="I402" t="str">
        <f>T("0773725052")</f>
        <v>0773725052</v>
      </c>
      <c r="J402" t="str">
        <f>T("0773725052")</f>
        <v>0773725052</v>
      </c>
      <c r="K402" t="s">
        <v>1565</v>
      </c>
    </row>
    <row r="403" spans="1:11">
      <c r="A403">
        <v>5715</v>
      </c>
      <c r="B403" t="s">
        <v>1566</v>
      </c>
      <c r="C403" t="s">
        <v>1567</v>
      </c>
      <c r="D403" t="str">
        <f>T("04011")</f>
        <v>04011</v>
      </c>
      <c r="E403" t="s">
        <v>1568</v>
      </c>
      <c r="F403" t="s">
        <v>1560</v>
      </c>
      <c r="G403" t="s">
        <v>20</v>
      </c>
      <c r="H403" t="s">
        <v>1543</v>
      </c>
      <c r="I403" t="str">
        <f>T("0692704132")</f>
        <v>0692704132</v>
      </c>
      <c r="J403" t="str">
        <f>T("0692708411")</f>
        <v>0692708411</v>
      </c>
      <c r="K403" t="s">
        <v>1569</v>
      </c>
    </row>
    <row r="404" spans="1:11">
      <c r="A404">
        <v>5720</v>
      </c>
      <c r="B404" t="s">
        <v>1570</v>
      </c>
      <c r="C404" t="s">
        <v>1571</v>
      </c>
      <c r="D404" t="str">
        <f>T("04100")</f>
        <v>04100</v>
      </c>
      <c r="E404" t="s">
        <v>1559</v>
      </c>
      <c r="F404" t="s">
        <v>1560</v>
      </c>
      <c r="G404" t="s">
        <v>20</v>
      </c>
      <c r="H404" t="s">
        <v>1543</v>
      </c>
      <c r="I404" t="str">
        <f>T("0773660238")</f>
        <v>0773660238</v>
      </c>
      <c r="J404" t="str">
        <f>T("0773694101")</f>
        <v>0773694101</v>
      </c>
      <c r="K404" t="s">
        <v>1572</v>
      </c>
    </row>
    <row r="405" spans="1:11">
      <c r="A405">
        <v>5725</v>
      </c>
      <c r="B405" t="s">
        <v>1573</v>
      </c>
      <c r="C405" t="s">
        <v>1574</v>
      </c>
      <c r="D405" t="str">
        <f>T("04015")</f>
        <v>04015</v>
      </c>
      <c r="E405" t="s">
        <v>1575</v>
      </c>
      <c r="F405" t="s">
        <v>1560</v>
      </c>
      <c r="G405" t="s">
        <v>20</v>
      </c>
      <c r="H405" t="s">
        <v>1543</v>
      </c>
      <c r="I405" t="str">
        <f>T("0773911700")</f>
        <v>0773911700</v>
      </c>
      <c r="J405" t="str">
        <f>T("0773913617")</f>
        <v>0773913617</v>
      </c>
      <c r="K405" t="s">
        <v>1576</v>
      </c>
    </row>
    <row r="406" spans="1:11">
      <c r="A406">
        <v>5730</v>
      </c>
      <c r="B406" t="s">
        <v>1577</v>
      </c>
      <c r="C406" t="s">
        <v>1578</v>
      </c>
      <c r="D406" t="str">
        <f>T("04012")</f>
        <v>04012</v>
      </c>
      <c r="E406" t="s">
        <v>1579</v>
      </c>
      <c r="F406" t="s">
        <v>1560</v>
      </c>
      <c r="G406" t="s">
        <v>20</v>
      </c>
      <c r="H406" t="s">
        <v>1543</v>
      </c>
      <c r="I406" t="str">
        <f>T("069699205")</f>
        <v>069699205</v>
      </c>
      <c r="J406" t="str">
        <f>T("069699205")</f>
        <v>069699205</v>
      </c>
      <c r="K406" t="s">
        <v>1580</v>
      </c>
    </row>
    <row r="407" spans="1:11">
      <c r="A407">
        <v>5816</v>
      </c>
      <c r="B407" t="s">
        <v>856</v>
      </c>
      <c r="C407" t="s">
        <v>1581</v>
      </c>
      <c r="D407" t="str">
        <f>T("02100")</f>
        <v>02100</v>
      </c>
      <c r="E407" t="s">
        <v>1582</v>
      </c>
      <c r="F407" t="s">
        <v>1583</v>
      </c>
      <c r="G407" t="s">
        <v>20</v>
      </c>
      <c r="H407" t="s">
        <v>21</v>
      </c>
      <c r="I407" t="str">
        <f>T("0746270733")</f>
        <v>0746270733</v>
      </c>
      <c r="J407" t="str">
        <f>T("0746485509")</f>
        <v>0746485509</v>
      </c>
      <c r="K407" t="s">
        <v>1584</v>
      </c>
    </row>
    <row r="408" spans="1:11">
      <c r="A408">
        <v>5817</v>
      </c>
      <c r="B408" t="s">
        <v>1585</v>
      </c>
      <c r="C408" t="s">
        <v>1586</v>
      </c>
      <c r="D408" t="str">
        <f>T("02047")</f>
        <v>02047</v>
      </c>
      <c r="E408" t="s">
        <v>1587</v>
      </c>
      <c r="F408" t="s">
        <v>1583</v>
      </c>
      <c r="G408" t="s">
        <v>20</v>
      </c>
      <c r="H408" t="s">
        <v>21</v>
      </c>
      <c r="I408" t="str">
        <f>T("076524138")</f>
        <v>076524138</v>
      </c>
      <c r="J408" t="str">
        <f>T("076524138")</f>
        <v>076524138</v>
      </c>
      <c r="K408" t="s">
        <v>1588</v>
      </c>
    </row>
    <row r="409" spans="1:11">
      <c r="A409">
        <v>5819</v>
      </c>
      <c r="B409" t="s">
        <v>1589</v>
      </c>
      <c r="C409" t="s">
        <v>1590</v>
      </c>
      <c r="D409" t="str">
        <f>T("00193")</f>
        <v>00193</v>
      </c>
      <c r="E409" t="s">
        <v>18</v>
      </c>
      <c r="F409" t="s">
        <v>19</v>
      </c>
      <c r="G409" t="s">
        <v>20</v>
      </c>
      <c r="H409" t="s">
        <v>1543</v>
      </c>
      <c r="I409" t="str">
        <f>T("063204951")</f>
        <v>063204951</v>
      </c>
      <c r="J409" t="str">
        <f>T("063222273")</f>
        <v>063222273</v>
      </c>
      <c r="K409" t="s">
        <v>1591</v>
      </c>
    </row>
    <row r="410" spans="1:11">
      <c r="A410">
        <v>5820</v>
      </c>
      <c r="B410" t="s">
        <v>1592</v>
      </c>
      <c r="C410" t="s">
        <v>1593</v>
      </c>
      <c r="D410" t="str">
        <f>T("00125")</f>
        <v>00125</v>
      </c>
      <c r="E410" t="s">
        <v>18</v>
      </c>
      <c r="F410" t="s">
        <v>19</v>
      </c>
      <c r="G410" t="s">
        <v>20</v>
      </c>
      <c r="H410" t="s">
        <v>1543</v>
      </c>
      <c r="I410" t="str">
        <f>T("0652363319")</f>
        <v>0652363319</v>
      </c>
      <c r="J410" t="str">
        <f>T("0652369218")</f>
        <v>0652369218</v>
      </c>
      <c r="K410" t="s">
        <v>1594</v>
      </c>
    </row>
    <row r="411" spans="1:11">
      <c r="A411">
        <v>5825</v>
      </c>
      <c r="B411" t="s">
        <v>1595</v>
      </c>
      <c r="C411" t="s">
        <v>1596</v>
      </c>
      <c r="D411" t="str">
        <f>T("00053")</f>
        <v>00053</v>
      </c>
      <c r="E411" t="s">
        <v>1597</v>
      </c>
      <c r="F411" t="s">
        <v>19</v>
      </c>
      <c r="G411" t="s">
        <v>20</v>
      </c>
      <c r="H411" t="s">
        <v>21</v>
      </c>
      <c r="I411" t="str">
        <f>T("076624682")</f>
        <v>076624682</v>
      </c>
      <c r="J411" t="str">
        <f>T("076624682")</f>
        <v>076624682</v>
      </c>
      <c r="K411" t="s">
        <v>1598</v>
      </c>
    </row>
    <row r="412" spans="1:11">
      <c r="A412">
        <v>5827</v>
      </c>
      <c r="B412" t="s">
        <v>1599</v>
      </c>
      <c r="C412" t="s">
        <v>1600</v>
      </c>
      <c r="D412" t="str">
        <f>T("00149")</f>
        <v>00149</v>
      </c>
      <c r="E412" t="s">
        <v>18</v>
      </c>
      <c r="F412" t="s">
        <v>19</v>
      </c>
      <c r="G412" t="s">
        <v>20</v>
      </c>
      <c r="H412" t="s">
        <v>1543</v>
      </c>
      <c r="I412" t="str">
        <f>T("0655283060")</f>
        <v>0655283060</v>
      </c>
      <c r="J412" t="str">
        <f>T("0655286775")</f>
        <v>0655286775</v>
      </c>
      <c r="K412" t="s">
        <v>1601</v>
      </c>
    </row>
    <row r="413" spans="1:11">
      <c r="A413">
        <v>5829</v>
      </c>
      <c r="B413" t="s">
        <v>1602</v>
      </c>
      <c r="C413" t="s">
        <v>1603</v>
      </c>
      <c r="D413" t="str">
        <f>T("00136")</f>
        <v>00136</v>
      </c>
      <c r="E413" t="s">
        <v>18</v>
      </c>
      <c r="F413" t="s">
        <v>19</v>
      </c>
      <c r="G413" t="s">
        <v>20</v>
      </c>
      <c r="H413" t="s">
        <v>1543</v>
      </c>
      <c r="I413" t="str">
        <f>T("0635404555")</f>
        <v>0635404555</v>
      </c>
      <c r="J413" t="str">
        <f>T("0635428969")</f>
        <v>0635428969</v>
      </c>
      <c r="K413" t="s">
        <v>1604</v>
      </c>
    </row>
    <row r="414" spans="1:11">
      <c r="A414">
        <v>5830</v>
      </c>
      <c r="B414" t="s">
        <v>1605</v>
      </c>
      <c r="C414" t="s">
        <v>1606</v>
      </c>
      <c r="D414" t="str">
        <f>T("00191")</f>
        <v>00191</v>
      </c>
      <c r="E414" t="s">
        <v>18</v>
      </c>
      <c r="F414" t="s">
        <v>19</v>
      </c>
      <c r="G414" t="s">
        <v>20</v>
      </c>
      <c r="H414" t="s">
        <v>1543</v>
      </c>
      <c r="I414" t="str">
        <f>T("063293739")</f>
        <v>063293739</v>
      </c>
      <c r="J414" t="str">
        <f>T("063296427")</f>
        <v>063296427</v>
      </c>
      <c r="K414" t="s">
        <v>1607</v>
      </c>
    </row>
    <row r="415" spans="1:11">
      <c r="A415">
        <v>5832</v>
      </c>
      <c r="B415" t="s">
        <v>516</v>
      </c>
      <c r="C415" t="s">
        <v>1608</v>
      </c>
      <c r="D415" t="str">
        <f>T("00071")</f>
        <v>00071</v>
      </c>
      <c r="E415" t="s">
        <v>1609</v>
      </c>
      <c r="F415" t="s">
        <v>19</v>
      </c>
      <c r="G415" t="s">
        <v>20</v>
      </c>
      <c r="H415" t="s">
        <v>1543</v>
      </c>
      <c r="I415" t="str">
        <f>T("069112468")</f>
        <v>069112468</v>
      </c>
      <c r="J415" t="str">
        <f>T("069112468")</f>
        <v>069112468</v>
      </c>
      <c r="K415" t="s">
        <v>1610</v>
      </c>
    </row>
    <row r="416" spans="1:11">
      <c r="A416">
        <v>5833</v>
      </c>
      <c r="B416" t="s">
        <v>1611</v>
      </c>
      <c r="C416" t="s">
        <v>1612</v>
      </c>
      <c r="D416" t="str">
        <f>T("00065")</f>
        <v>00065</v>
      </c>
      <c r="E416" t="s">
        <v>1613</v>
      </c>
      <c r="F416" t="s">
        <v>19</v>
      </c>
      <c r="G416" t="s">
        <v>20</v>
      </c>
      <c r="H416" t="s">
        <v>1543</v>
      </c>
      <c r="I416" t="str">
        <f>T("0765389356")</f>
        <v>0765389356</v>
      </c>
      <c r="J416" t="str">
        <f>T("0765389356")</f>
        <v>0765389356</v>
      </c>
      <c r="K416" t="s">
        <v>1614</v>
      </c>
    </row>
    <row r="417" spans="1:11">
      <c r="A417">
        <v>5834</v>
      </c>
      <c r="B417" t="s">
        <v>1615</v>
      </c>
      <c r="C417" t="s">
        <v>1616</v>
      </c>
      <c r="D417" t="str">
        <f>T("00036")</f>
        <v>00036</v>
      </c>
      <c r="E417" t="s">
        <v>1617</v>
      </c>
      <c r="F417" t="s">
        <v>19</v>
      </c>
      <c r="G417" t="s">
        <v>20</v>
      </c>
      <c r="H417" t="s">
        <v>1543</v>
      </c>
      <c r="I417" t="str">
        <f>T("069573127")</f>
        <v>069573127</v>
      </c>
      <c r="J417" t="str">
        <f>T("069573127")</f>
        <v>069573127</v>
      </c>
      <c r="K417" t="s">
        <v>1618</v>
      </c>
    </row>
    <row r="418" spans="1:11">
      <c r="A418">
        <v>5835</v>
      </c>
      <c r="B418" t="s">
        <v>1619</v>
      </c>
      <c r="C418" t="s">
        <v>1620</v>
      </c>
      <c r="D418" t="str">
        <f>T("00042")</f>
        <v>00042</v>
      </c>
      <c r="E418" t="s">
        <v>1621</v>
      </c>
      <c r="F418" t="s">
        <v>19</v>
      </c>
      <c r="G418" t="s">
        <v>20</v>
      </c>
      <c r="H418" t="s">
        <v>1543</v>
      </c>
      <c r="I418" t="str">
        <f>T("069864825")</f>
        <v>069864825</v>
      </c>
      <c r="J418" t="str">
        <f>T("069864042")</f>
        <v>069864042</v>
      </c>
      <c r="K418" t="s">
        <v>1622</v>
      </c>
    </row>
    <row r="419" spans="1:11">
      <c r="A419">
        <v>5836</v>
      </c>
      <c r="B419" t="s">
        <v>1623</v>
      </c>
      <c r="C419" t="s">
        <v>1624</v>
      </c>
      <c r="D419" t="str">
        <f>T("00189")</f>
        <v>00189</v>
      </c>
      <c r="E419" t="s">
        <v>18</v>
      </c>
      <c r="F419" t="s">
        <v>19</v>
      </c>
      <c r="G419" t="s">
        <v>20</v>
      </c>
      <c r="H419" t="s">
        <v>1543</v>
      </c>
      <c r="I419" t="str">
        <f>T("0630366013")</f>
        <v>0630366013</v>
      </c>
      <c r="J419" t="str">
        <f>T("0630366079")</f>
        <v>0630366079</v>
      </c>
      <c r="K419" t="s">
        <v>1625</v>
      </c>
    </row>
    <row r="420" spans="1:11">
      <c r="A420">
        <v>5902</v>
      </c>
      <c r="B420" t="s">
        <v>1626</v>
      </c>
      <c r="C420" t="s">
        <v>1627</v>
      </c>
      <c r="D420" t="str">
        <f>T("00198")</f>
        <v>00198</v>
      </c>
      <c r="E420" t="s">
        <v>18</v>
      </c>
      <c r="F420" t="s">
        <v>19</v>
      </c>
      <c r="G420" t="s">
        <v>20</v>
      </c>
      <c r="H420" t="s">
        <v>1543</v>
      </c>
      <c r="I420" t="str">
        <f>T("0686215020")</f>
        <v>0686215020</v>
      </c>
      <c r="J420" t="str">
        <f>T("0683600364")</f>
        <v>0683600364</v>
      </c>
      <c r="K420" t="s">
        <v>1628</v>
      </c>
    </row>
    <row r="421" spans="1:11">
      <c r="A421">
        <v>5904</v>
      </c>
      <c r="B421" t="s">
        <v>1629</v>
      </c>
      <c r="C421" t="s">
        <v>1630</v>
      </c>
      <c r="D421" t="str">
        <f>T("00186")</f>
        <v>00186</v>
      </c>
      <c r="E421" t="s">
        <v>18</v>
      </c>
      <c r="F421" t="s">
        <v>19</v>
      </c>
      <c r="G421" t="s">
        <v>20</v>
      </c>
      <c r="H421" t="s">
        <v>1543</v>
      </c>
      <c r="I421" t="str">
        <f>T("0668805141")</f>
        <v>0668805141</v>
      </c>
      <c r="J421" t="str">
        <f>T("0668805143")</f>
        <v>0668805143</v>
      </c>
      <c r="K421" t="s">
        <v>1631</v>
      </c>
    </row>
    <row r="422" spans="1:11">
      <c r="A422">
        <v>5907</v>
      </c>
      <c r="B422" t="s">
        <v>1632</v>
      </c>
      <c r="C422" t="s">
        <v>1633</v>
      </c>
      <c r="D422" t="str">
        <f>T("00144")</f>
        <v>00144</v>
      </c>
      <c r="E422" t="s">
        <v>18</v>
      </c>
      <c r="F422" t="s">
        <v>19</v>
      </c>
      <c r="G422" t="s">
        <v>20</v>
      </c>
      <c r="H422" t="s">
        <v>1543</v>
      </c>
      <c r="I422" t="str">
        <f>T("0652207804")</f>
        <v>0652207804</v>
      </c>
      <c r="J422" t="str">
        <f>T("0652209756")</f>
        <v>0652209756</v>
      </c>
      <c r="K422" t="s">
        <v>1634</v>
      </c>
    </row>
    <row r="423" spans="1:11">
      <c r="A423">
        <v>5921</v>
      </c>
      <c r="B423" t="s">
        <v>1635</v>
      </c>
      <c r="C423" t="s">
        <v>1636</v>
      </c>
      <c r="D423" t="str">
        <f>T("00136")</f>
        <v>00136</v>
      </c>
      <c r="E423" t="s">
        <v>18</v>
      </c>
      <c r="F423" t="s">
        <v>19</v>
      </c>
      <c r="G423" t="s">
        <v>20</v>
      </c>
      <c r="H423" t="s">
        <v>1543</v>
      </c>
      <c r="I423" t="str">
        <f>T("0639749850")</f>
        <v>0639749850</v>
      </c>
      <c r="J423" t="str">
        <f>T("0639749828")</f>
        <v>0639749828</v>
      </c>
      <c r="K423" t="s">
        <v>1637</v>
      </c>
    </row>
    <row r="424" spans="1:11">
      <c r="A424">
        <v>5934</v>
      </c>
      <c r="B424" t="s">
        <v>1638</v>
      </c>
      <c r="C424" t="s">
        <v>1639</v>
      </c>
      <c r="D424" t="str">
        <f>T("00165")</f>
        <v>00165</v>
      </c>
      <c r="E424" t="s">
        <v>18</v>
      </c>
      <c r="F424" t="s">
        <v>19</v>
      </c>
      <c r="G424" t="s">
        <v>20</v>
      </c>
      <c r="H424" t="s">
        <v>1543</v>
      </c>
      <c r="I424" t="str">
        <f>T("066636088")</f>
        <v>066636088</v>
      </c>
      <c r="J424" t="str">
        <f>T("066636088")</f>
        <v>066636088</v>
      </c>
      <c r="K424" t="s">
        <v>1640</v>
      </c>
    </row>
    <row r="425" spans="1:11">
      <c r="A425">
        <v>5937</v>
      </c>
      <c r="B425" t="s">
        <v>1641</v>
      </c>
      <c r="C425" t="s">
        <v>1642</v>
      </c>
      <c r="D425" t="str">
        <f>T("00192")</f>
        <v>00192</v>
      </c>
      <c r="E425" t="s">
        <v>18</v>
      </c>
      <c r="F425" t="s">
        <v>19</v>
      </c>
      <c r="G425" t="s">
        <v>20</v>
      </c>
      <c r="H425" t="s">
        <v>1543</v>
      </c>
      <c r="I425" t="str">
        <f>T("063243138")</f>
        <v>063243138</v>
      </c>
      <c r="J425" t="str">
        <f>T("063232910")</f>
        <v>063232910</v>
      </c>
      <c r="K425" t="s">
        <v>1643</v>
      </c>
    </row>
    <row r="426" spans="1:11">
      <c r="A426">
        <v>5939</v>
      </c>
      <c r="B426" t="s">
        <v>1644</v>
      </c>
      <c r="C426" t="s">
        <v>1645</v>
      </c>
      <c r="D426" t="str">
        <f>T("00169")</f>
        <v>00169</v>
      </c>
      <c r="E426" t="s">
        <v>18</v>
      </c>
      <c r="F426" t="s">
        <v>19</v>
      </c>
      <c r="G426" t="s">
        <v>20</v>
      </c>
      <c r="H426" t="s">
        <v>1543</v>
      </c>
      <c r="I426" t="str">
        <f>T("0623269221")</f>
        <v>0623269221</v>
      </c>
      <c r="J426" t="str">
        <f>T("06260097")</f>
        <v>06260097</v>
      </c>
      <c r="K426" t="s">
        <v>1646</v>
      </c>
    </row>
    <row r="427" spans="1:11">
      <c r="A427">
        <v>5943</v>
      </c>
      <c r="B427" t="s">
        <v>1647</v>
      </c>
      <c r="C427" t="s">
        <v>1648</v>
      </c>
      <c r="D427" t="str">
        <f>T("00034")</f>
        <v>00034</v>
      </c>
      <c r="E427" t="s">
        <v>1649</v>
      </c>
      <c r="F427" t="s">
        <v>19</v>
      </c>
      <c r="G427" t="s">
        <v>20</v>
      </c>
      <c r="H427" t="s">
        <v>1543</v>
      </c>
      <c r="I427" t="str">
        <f>T("0697305860")</f>
        <v>0697305860</v>
      </c>
      <c r="J427" t="str">
        <f>T("0697305860")</f>
        <v>0697305860</v>
      </c>
      <c r="K427" t="s">
        <v>1650</v>
      </c>
    </row>
    <row r="428" spans="1:11">
      <c r="A428">
        <v>5944</v>
      </c>
      <c r="B428" t="s">
        <v>1651</v>
      </c>
      <c r="C428" t="s">
        <v>1652</v>
      </c>
      <c r="D428" t="str">
        <f>T("00041")</f>
        <v>00041</v>
      </c>
      <c r="E428" t="s">
        <v>1653</v>
      </c>
      <c r="F428" t="s">
        <v>19</v>
      </c>
      <c r="G428" t="s">
        <v>20</v>
      </c>
      <c r="H428" t="s">
        <v>1543</v>
      </c>
      <c r="I428" t="str">
        <f>T("069369363")</f>
        <v>069369363</v>
      </c>
      <c r="J428" t="str">
        <f>T("0693010191")</f>
        <v>0693010191</v>
      </c>
      <c r="K428" t="s">
        <v>1654</v>
      </c>
    </row>
    <row r="429" spans="1:11">
      <c r="A429">
        <v>5952</v>
      </c>
      <c r="B429" t="s">
        <v>1629</v>
      </c>
      <c r="C429" t="s">
        <v>1655</v>
      </c>
      <c r="D429" t="str">
        <f>T("00152")</f>
        <v>00152</v>
      </c>
      <c r="E429" t="s">
        <v>18</v>
      </c>
      <c r="F429" t="s">
        <v>19</v>
      </c>
      <c r="G429" t="s">
        <v>20</v>
      </c>
      <c r="H429" t="s">
        <v>1543</v>
      </c>
      <c r="I429" t="str">
        <f>T("0658233002")</f>
        <v>0658233002</v>
      </c>
      <c r="J429" t="str">
        <f>T("0658233002")</f>
        <v>0658233002</v>
      </c>
      <c r="K429" t="s">
        <v>1656</v>
      </c>
    </row>
    <row r="430" spans="1:11">
      <c r="A430">
        <v>5956</v>
      </c>
      <c r="B430" t="s">
        <v>1657</v>
      </c>
      <c r="C430" t="s">
        <v>1658</v>
      </c>
      <c r="D430" t="str">
        <f>T("00132")</f>
        <v>00132</v>
      </c>
      <c r="E430" t="s">
        <v>18</v>
      </c>
      <c r="F430" t="s">
        <v>19</v>
      </c>
      <c r="G430" t="s">
        <v>20</v>
      </c>
      <c r="H430" t="s">
        <v>1543</v>
      </c>
      <c r="I430" t="str">
        <f>T("0620764255")</f>
        <v>0620764255</v>
      </c>
      <c r="J430" t="str">
        <f>T("0620749091")</f>
        <v>0620749091</v>
      </c>
      <c r="K430" t="s">
        <v>1659</v>
      </c>
    </row>
    <row r="431" spans="1:11">
      <c r="A431">
        <v>5959</v>
      </c>
      <c r="B431" t="s">
        <v>1660</v>
      </c>
      <c r="C431" t="s">
        <v>1661</v>
      </c>
      <c r="D431" t="str">
        <f>T("00173")</f>
        <v>00173</v>
      </c>
      <c r="E431" t="s">
        <v>18</v>
      </c>
      <c r="F431" t="s">
        <v>19</v>
      </c>
      <c r="G431" t="s">
        <v>20</v>
      </c>
      <c r="H431" t="s">
        <v>1543</v>
      </c>
      <c r="I431" t="str">
        <f>T("067216800")</f>
        <v>067216800</v>
      </c>
      <c r="J431" t="str">
        <f>T("067216800")</f>
        <v>067216800</v>
      </c>
      <c r="K431" t="s">
        <v>1662</v>
      </c>
    </row>
    <row r="432" spans="1:11">
      <c r="A432">
        <v>5960</v>
      </c>
      <c r="B432" t="s">
        <v>1629</v>
      </c>
      <c r="C432" t="s">
        <v>1663</v>
      </c>
      <c r="D432" t="str">
        <f>T("00181")</f>
        <v>00181</v>
      </c>
      <c r="E432" t="s">
        <v>18</v>
      </c>
      <c r="F432" t="s">
        <v>19</v>
      </c>
      <c r="G432" t="s">
        <v>20</v>
      </c>
      <c r="H432" t="s">
        <v>1543</v>
      </c>
      <c r="I432" t="str">
        <f>T("067887893")</f>
        <v>067887893</v>
      </c>
      <c r="J432" t="str">
        <f>T("067800445")</f>
        <v>067800445</v>
      </c>
      <c r="K432" t="s">
        <v>1664</v>
      </c>
    </row>
    <row r="433" spans="1:11">
      <c r="A433">
        <v>5962</v>
      </c>
      <c r="B433" t="s">
        <v>1665</v>
      </c>
      <c r="C433" t="s">
        <v>1666</v>
      </c>
      <c r="D433" t="str">
        <f>T("00012")</f>
        <v>00012</v>
      </c>
      <c r="E433" t="s">
        <v>1667</v>
      </c>
      <c r="F433" t="s">
        <v>19</v>
      </c>
      <c r="G433" t="s">
        <v>20</v>
      </c>
      <c r="H433" t="s">
        <v>1543</v>
      </c>
      <c r="I433" t="str">
        <f>T("0774373209")</f>
        <v>0774373209</v>
      </c>
      <c r="J433" t="str">
        <f>T("0774372113")</f>
        <v>0774372113</v>
      </c>
      <c r="K433" t="s">
        <v>1668</v>
      </c>
    </row>
    <row r="434" spans="1:11">
      <c r="A434">
        <v>5968</v>
      </c>
      <c r="B434" t="s">
        <v>1669</v>
      </c>
      <c r="C434" t="s">
        <v>1670</v>
      </c>
      <c r="D434" t="str">
        <f>T("00187")</f>
        <v>00187</v>
      </c>
      <c r="E434" t="s">
        <v>18</v>
      </c>
      <c r="F434" t="s">
        <v>19</v>
      </c>
      <c r="G434" t="s">
        <v>20</v>
      </c>
      <c r="H434" t="s">
        <v>1543</v>
      </c>
      <c r="I434" t="str">
        <f>T("0642014052")</f>
        <v>0642014052</v>
      </c>
      <c r="J434" t="str">
        <f>T("0642014052")</f>
        <v>0642014052</v>
      </c>
      <c r="K434" t="s">
        <v>1671</v>
      </c>
    </row>
    <row r="435" spans="1:11">
      <c r="A435">
        <v>5970</v>
      </c>
      <c r="B435" t="s">
        <v>1672</v>
      </c>
      <c r="C435" t="s">
        <v>1673</v>
      </c>
      <c r="D435" t="str">
        <f>T("00044")</f>
        <v>00044</v>
      </c>
      <c r="E435" t="s">
        <v>1674</v>
      </c>
      <c r="F435" t="s">
        <v>19</v>
      </c>
      <c r="G435" t="s">
        <v>20</v>
      </c>
      <c r="H435" t="s">
        <v>1543</v>
      </c>
      <c r="I435" t="str">
        <f>T("069417844")</f>
        <v>069417844</v>
      </c>
      <c r="J435" t="str">
        <f>T("069417844")</f>
        <v>069417844</v>
      </c>
      <c r="K435" t="s">
        <v>1675</v>
      </c>
    </row>
    <row r="436" spans="1:11">
      <c r="A436">
        <v>5971</v>
      </c>
      <c r="B436" t="s">
        <v>1676</v>
      </c>
      <c r="C436" t="s">
        <v>1677</v>
      </c>
      <c r="D436" t="str">
        <f>T("00196")</f>
        <v>00196</v>
      </c>
      <c r="E436" t="s">
        <v>18</v>
      </c>
      <c r="F436" t="s">
        <v>19</v>
      </c>
      <c r="G436" t="s">
        <v>20</v>
      </c>
      <c r="H436" t="s">
        <v>1543</v>
      </c>
      <c r="I436" t="str">
        <f>T("063233468")</f>
        <v>063233468</v>
      </c>
      <c r="J436" t="str">
        <f>T("063233468")</f>
        <v>063233468</v>
      </c>
      <c r="K436" t="s">
        <v>1678</v>
      </c>
    </row>
    <row r="437" spans="1:11">
      <c r="A437">
        <v>5972</v>
      </c>
      <c r="B437" t="s">
        <v>1679</v>
      </c>
      <c r="C437" t="s">
        <v>1680</v>
      </c>
      <c r="D437" t="str">
        <f>T("00177")</f>
        <v>00177</v>
      </c>
      <c r="E437" t="s">
        <v>18</v>
      </c>
      <c r="F437" t="s">
        <v>19</v>
      </c>
      <c r="G437" t="s">
        <v>20</v>
      </c>
      <c r="H437" t="s">
        <v>1543</v>
      </c>
      <c r="I437" t="str">
        <f>T("06299607")</f>
        <v>06299607</v>
      </c>
      <c r="J437" t="str">
        <f>T("062751291")</f>
        <v>062751291</v>
      </c>
      <c r="K437" t="s">
        <v>1681</v>
      </c>
    </row>
    <row r="438" spans="1:11">
      <c r="A438">
        <v>5975</v>
      </c>
      <c r="B438" t="s">
        <v>1682</v>
      </c>
      <c r="C438" t="s">
        <v>1683</v>
      </c>
      <c r="D438" t="str">
        <f>T("00186")</f>
        <v>00186</v>
      </c>
      <c r="E438" t="s">
        <v>18</v>
      </c>
      <c r="F438" t="s">
        <v>19</v>
      </c>
      <c r="G438" t="s">
        <v>20</v>
      </c>
      <c r="H438" t="s">
        <v>1543</v>
      </c>
      <c r="I438" t="str">
        <f>T("066794180")</f>
        <v>066794180</v>
      </c>
      <c r="J438" t="str">
        <f>T("066793143")</f>
        <v>066793143</v>
      </c>
      <c r="K438" t="s">
        <v>1684</v>
      </c>
    </row>
    <row r="439" spans="1:11">
      <c r="A439">
        <v>5979</v>
      </c>
      <c r="B439" t="s">
        <v>1685</v>
      </c>
      <c r="C439" t="s">
        <v>1686</v>
      </c>
      <c r="D439" t="str">
        <f>T("00153")</f>
        <v>00153</v>
      </c>
      <c r="E439" t="s">
        <v>18</v>
      </c>
      <c r="F439" t="s">
        <v>19</v>
      </c>
      <c r="G439" t="s">
        <v>20</v>
      </c>
      <c r="H439" t="s">
        <v>1543</v>
      </c>
      <c r="I439" t="str">
        <f>T("065813491")</f>
        <v>065813491</v>
      </c>
      <c r="J439" t="str">
        <f>T("065803767")</f>
        <v>065803767</v>
      </c>
      <c r="K439" t="s">
        <v>1687</v>
      </c>
    </row>
    <row r="440" spans="1:11">
      <c r="A440">
        <v>5981</v>
      </c>
      <c r="B440" t="s">
        <v>1688</v>
      </c>
      <c r="C440" t="s">
        <v>1689</v>
      </c>
      <c r="D440" t="str">
        <f>T("00195")</f>
        <v>00195</v>
      </c>
      <c r="E440" t="s">
        <v>18</v>
      </c>
      <c r="F440" t="s">
        <v>19</v>
      </c>
      <c r="G440" t="s">
        <v>20</v>
      </c>
      <c r="H440" t="s">
        <v>1543</v>
      </c>
      <c r="I440" t="str">
        <f>T("063215913")</f>
        <v>063215913</v>
      </c>
      <c r="J440" t="str">
        <f>T("063215913")</f>
        <v>063215913</v>
      </c>
      <c r="K440" t="s">
        <v>1690</v>
      </c>
    </row>
    <row r="441" spans="1:11">
      <c r="A441">
        <v>5991</v>
      </c>
      <c r="B441" t="s">
        <v>1691</v>
      </c>
      <c r="C441" t="s">
        <v>1692</v>
      </c>
      <c r="D441" t="str">
        <f>T("00015")</f>
        <v>00015</v>
      </c>
      <c r="E441" t="s">
        <v>1693</v>
      </c>
      <c r="F441" t="s">
        <v>19</v>
      </c>
      <c r="G441" t="s">
        <v>20</v>
      </c>
      <c r="H441" t="s">
        <v>1543</v>
      </c>
      <c r="I441" t="str">
        <f>T("069061751")</f>
        <v>069061751</v>
      </c>
      <c r="J441" t="str">
        <f>T("0690627313")</f>
        <v>0690627313</v>
      </c>
      <c r="K441" t="s">
        <v>1694</v>
      </c>
    </row>
    <row r="442" spans="1:11">
      <c r="A442">
        <v>5997</v>
      </c>
      <c r="B442" t="s">
        <v>1695</v>
      </c>
      <c r="C442" t="s">
        <v>1696</v>
      </c>
      <c r="D442" t="str">
        <f>T("00195")</f>
        <v>00195</v>
      </c>
      <c r="E442" t="s">
        <v>18</v>
      </c>
      <c r="F442" t="s">
        <v>19</v>
      </c>
      <c r="G442" t="s">
        <v>20</v>
      </c>
      <c r="H442" t="s">
        <v>1543</v>
      </c>
      <c r="I442" t="str">
        <f>T("063720935")</f>
        <v>063720935</v>
      </c>
      <c r="J442" t="str">
        <f>T("")</f>
        <v/>
      </c>
      <c r="K442" t="s">
        <v>1697</v>
      </c>
    </row>
    <row r="443" spans="1:11">
      <c r="A443">
        <v>5998</v>
      </c>
      <c r="B443" t="s">
        <v>1698</v>
      </c>
      <c r="C443" t="s">
        <v>1699</v>
      </c>
      <c r="D443" t="str">
        <f>T("00061")</f>
        <v>00061</v>
      </c>
      <c r="E443" t="s">
        <v>1700</v>
      </c>
      <c r="F443" t="s">
        <v>19</v>
      </c>
      <c r="G443" t="s">
        <v>20</v>
      </c>
      <c r="H443" t="s">
        <v>1543</v>
      </c>
      <c r="I443" t="str">
        <f>T("069996236")</f>
        <v>069996236</v>
      </c>
      <c r="J443" t="str">
        <f>T("069994045")</f>
        <v>069994045</v>
      </c>
      <c r="K443" t="s">
        <v>1701</v>
      </c>
    </row>
    <row r="444" spans="1:11">
      <c r="A444">
        <v>6019</v>
      </c>
      <c r="B444" t="s">
        <v>804</v>
      </c>
      <c r="C444" t="s">
        <v>1702</v>
      </c>
      <c r="D444" t="str">
        <f>T("01100")</f>
        <v>01100</v>
      </c>
      <c r="E444" t="s">
        <v>1703</v>
      </c>
      <c r="F444" t="s">
        <v>1704</v>
      </c>
      <c r="G444" t="s">
        <v>20</v>
      </c>
      <c r="H444" t="s">
        <v>21</v>
      </c>
      <c r="I444" t="str">
        <f>T("07611710665")</f>
        <v>07611710665</v>
      </c>
      <c r="J444" t="str">
        <f>T("07611710665")</f>
        <v>07611710665</v>
      </c>
      <c r="K444" t="s">
        <v>1705</v>
      </c>
    </row>
    <row r="445" spans="1:11">
      <c r="A445">
        <v>6020</v>
      </c>
      <c r="B445" t="s">
        <v>804</v>
      </c>
      <c r="C445" t="s">
        <v>1706</v>
      </c>
      <c r="D445" t="str">
        <f>T("01100")</f>
        <v>01100</v>
      </c>
      <c r="E445" t="s">
        <v>1703</v>
      </c>
      <c r="F445" t="s">
        <v>1704</v>
      </c>
      <c r="G445" t="s">
        <v>20</v>
      </c>
      <c r="H445" t="s">
        <v>21</v>
      </c>
      <c r="I445" t="str">
        <f>T("0761092724")</f>
        <v>0761092724</v>
      </c>
      <c r="J445" t="str">
        <f>T("0761364328")</f>
        <v>0761364328</v>
      </c>
      <c r="K445" t="s">
        <v>1707</v>
      </c>
    </row>
    <row r="446" spans="1:11">
      <c r="A446">
        <v>6056</v>
      </c>
      <c r="B446" t="s">
        <v>1708</v>
      </c>
      <c r="C446" t="s">
        <v>1709</v>
      </c>
      <c r="D446" t="str">
        <f>T("00157")</f>
        <v>00157</v>
      </c>
      <c r="E446" t="s">
        <v>18</v>
      </c>
      <c r="F446" t="s">
        <v>19</v>
      </c>
      <c r="G446" t="s">
        <v>20</v>
      </c>
      <c r="H446" t="s">
        <v>1543</v>
      </c>
      <c r="I446" t="str">
        <f>T("0643531151")</f>
        <v>0643531151</v>
      </c>
      <c r="J446" t="str">
        <f>T("0643531105")</f>
        <v>0643531105</v>
      </c>
      <c r="K446" t="s">
        <v>1710</v>
      </c>
    </row>
    <row r="447" spans="1:11">
      <c r="A447">
        <v>6059</v>
      </c>
      <c r="B447" t="s">
        <v>1711</v>
      </c>
      <c r="C447" t="s">
        <v>1712</v>
      </c>
      <c r="D447" t="str">
        <f>T("00164")</f>
        <v>00164</v>
      </c>
      <c r="E447" t="s">
        <v>18</v>
      </c>
      <c r="F447" t="s">
        <v>19</v>
      </c>
      <c r="G447" t="s">
        <v>20</v>
      </c>
      <c r="H447" t="s">
        <v>1543</v>
      </c>
      <c r="I447" t="str">
        <f>T("0666148133")</f>
        <v>0666148133</v>
      </c>
      <c r="J447" t="str">
        <f>T("0666148133")</f>
        <v>0666148133</v>
      </c>
      <c r="K447" t="s">
        <v>1713</v>
      </c>
    </row>
    <row r="448" spans="1:11">
      <c r="A448">
        <v>6063</v>
      </c>
      <c r="B448" t="s">
        <v>1714</v>
      </c>
      <c r="C448" t="s">
        <v>1715</v>
      </c>
      <c r="D448" t="str">
        <f>T("00138")</f>
        <v>00138</v>
      </c>
      <c r="E448" t="s">
        <v>18</v>
      </c>
      <c r="F448" t="s">
        <v>19</v>
      </c>
      <c r="G448" t="s">
        <v>20</v>
      </c>
      <c r="H448" t="s">
        <v>1543</v>
      </c>
      <c r="I448" t="str">
        <f>T("0688522234")</f>
        <v>0688522234</v>
      </c>
      <c r="J448" t="str">
        <f>T("0688522234")</f>
        <v>0688522234</v>
      </c>
      <c r="K448" t="s">
        <v>1716</v>
      </c>
    </row>
    <row r="449" spans="1:11">
      <c r="A449">
        <v>6064</v>
      </c>
      <c r="B449" t="s">
        <v>1717</v>
      </c>
      <c r="C449" t="s">
        <v>1718</v>
      </c>
      <c r="D449" t="str">
        <f>T("00047")</f>
        <v>00047</v>
      </c>
      <c r="E449" t="s">
        <v>1719</v>
      </c>
      <c r="F449" t="s">
        <v>19</v>
      </c>
      <c r="G449" t="s">
        <v>20</v>
      </c>
      <c r="H449" t="s">
        <v>1543</v>
      </c>
      <c r="I449" t="str">
        <f>T("0693803010")</f>
        <v>0693803010</v>
      </c>
      <c r="J449" t="str">
        <f>T("0693803010")</f>
        <v>0693803010</v>
      </c>
      <c r="K449" t="s">
        <v>1720</v>
      </c>
    </row>
    <row r="450" spans="1:11">
      <c r="A450">
        <v>6065</v>
      </c>
      <c r="B450" t="s">
        <v>1721</v>
      </c>
      <c r="C450" t="s">
        <v>1722</v>
      </c>
      <c r="D450" t="str">
        <f>T("00188")</f>
        <v>00188</v>
      </c>
      <c r="E450" t="s">
        <v>18</v>
      </c>
      <c r="F450" t="s">
        <v>19</v>
      </c>
      <c r="G450" t="s">
        <v>20</v>
      </c>
      <c r="H450" t="s">
        <v>1543</v>
      </c>
      <c r="I450" t="str">
        <f>T("0633619490")</f>
        <v>0633619490</v>
      </c>
      <c r="J450" t="str">
        <f>T("0633625777")</f>
        <v>0633625777</v>
      </c>
      <c r="K450" t="s">
        <v>1723</v>
      </c>
    </row>
    <row r="451" spans="1:11">
      <c r="A451">
        <v>6068</v>
      </c>
      <c r="B451" t="s">
        <v>1724</v>
      </c>
      <c r="C451" t="s">
        <v>1725</v>
      </c>
      <c r="D451" t="str">
        <f>T("00187")</f>
        <v>00187</v>
      </c>
      <c r="E451" t="s">
        <v>18</v>
      </c>
      <c r="F451" t="s">
        <v>19</v>
      </c>
      <c r="G451" t="s">
        <v>20</v>
      </c>
      <c r="H451" t="s">
        <v>1543</v>
      </c>
      <c r="I451" t="str">
        <f>T("064744640")</f>
        <v>064744640</v>
      </c>
      <c r="J451" t="str">
        <f>T("064744640")</f>
        <v>064744640</v>
      </c>
      <c r="K451" t="s">
        <v>1726</v>
      </c>
    </row>
    <row r="452" spans="1:11">
      <c r="A452">
        <v>6071</v>
      </c>
      <c r="B452" t="s">
        <v>1727</v>
      </c>
      <c r="C452" t="s">
        <v>1728</v>
      </c>
      <c r="D452" t="str">
        <f>T("00199")</f>
        <v>00199</v>
      </c>
      <c r="E452" t="s">
        <v>18</v>
      </c>
      <c r="F452" t="s">
        <v>19</v>
      </c>
      <c r="G452" t="s">
        <v>20</v>
      </c>
      <c r="H452" t="s">
        <v>1543</v>
      </c>
      <c r="I452" t="str">
        <f>T("0686399194")</f>
        <v>0686399194</v>
      </c>
      <c r="J452" t="str">
        <f>T("0686398318")</f>
        <v>0686398318</v>
      </c>
      <c r="K452" t="s">
        <v>1729</v>
      </c>
    </row>
    <row r="453" spans="1:11">
      <c r="A453">
        <v>6072</v>
      </c>
      <c r="B453" t="s">
        <v>1730</v>
      </c>
      <c r="C453" t="s">
        <v>1731</v>
      </c>
      <c r="D453" t="str">
        <f>T("00049")</f>
        <v>00049</v>
      </c>
      <c r="E453" t="s">
        <v>1732</v>
      </c>
      <c r="F453" t="s">
        <v>19</v>
      </c>
      <c r="G453" t="s">
        <v>20</v>
      </c>
      <c r="H453" t="s">
        <v>1543</v>
      </c>
      <c r="I453" t="str">
        <f>T("069637018")</f>
        <v>069637018</v>
      </c>
      <c r="J453" t="str">
        <f>T("0696149709")</f>
        <v>0696149709</v>
      </c>
      <c r="K453" t="s">
        <v>1733</v>
      </c>
    </row>
    <row r="454" spans="1:11">
      <c r="A454">
        <v>6074</v>
      </c>
      <c r="B454" t="s">
        <v>1734</v>
      </c>
      <c r="C454" t="s">
        <v>1735</v>
      </c>
      <c r="D454" t="str">
        <f>T("00139")</f>
        <v>00139</v>
      </c>
      <c r="E454" t="s">
        <v>18</v>
      </c>
      <c r="F454" t="s">
        <v>19</v>
      </c>
      <c r="G454" t="s">
        <v>20</v>
      </c>
      <c r="H454" t="s">
        <v>1543</v>
      </c>
      <c r="I454" t="str">
        <f>T("0687136696")</f>
        <v>0687136696</v>
      </c>
      <c r="J454" t="str">
        <f>T("0687136632")</f>
        <v>0687136632</v>
      </c>
      <c r="K454" t="s">
        <v>1736</v>
      </c>
    </row>
    <row r="455" spans="1:11">
      <c r="A455">
        <v>6075</v>
      </c>
      <c r="B455" t="s">
        <v>1737</v>
      </c>
      <c r="C455" t="s">
        <v>1738</v>
      </c>
      <c r="D455" t="str">
        <f>T("00048")</f>
        <v>00048</v>
      </c>
      <c r="E455" t="s">
        <v>1739</v>
      </c>
      <c r="F455" t="s">
        <v>19</v>
      </c>
      <c r="G455" t="s">
        <v>20</v>
      </c>
      <c r="H455" t="s">
        <v>1543</v>
      </c>
      <c r="I455" t="str">
        <f>T("069804943")</f>
        <v>069804943</v>
      </c>
      <c r="J455" t="str">
        <f>T("0698830352")</f>
        <v>0698830352</v>
      </c>
      <c r="K455" t="s">
        <v>1740</v>
      </c>
    </row>
    <row r="456" spans="1:11">
      <c r="A456">
        <v>6077</v>
      </c>
      <c r="B456" t="s">
        <v>1741</v>
      </c>
      <c r="C456" t="s">
        <v>1742</v>
      </c>
      <c r="D456" t="str">
        <f>T("00052")</f>
        <v>00052</v>
      </c>
      <c r="E456" t="s">
        <v>1743</v>
      </c>
      <c r="F456" t="s">
        <v>19</v>
      </c>
      <c r="G456" t="s">
        <v>20</v>
      </c>
      <c r="H456" t="s">
        <v>21</v>
      </c>
      <c r="I456" t="str">
        <f>T("069941134")</f>
        <v>069941134</v>
      </c>
      <c r="J456" t="str">
        <f>T("0664011989")</f>
        <v>0664011989</v>
      </c>
      <c r="K456" t="s">
        <v>1744</v>
      </c>
    </row>
    <row r="457" spans="1:11">
      <c r="A457">
        <v>6083</v>
      </c>
      <c r="B457" t="s">
        <v>1695</v>
      </c>
      <c r="C457" t="s">
        <v>1745</v>
      </c>
      <c r="D457" t="str">
        <f>T("00043")</f>
        <v>00043</v>
      </c>
      <c r="E457" t="s">
        <v>1746</v>
      </c>
      <c r="F457" t="s">
        <v>19</v>
      </c>
      <c r="G457" t="s">
        <v>20</v>
      </c>
      <c r="H457" t="s">
        <v>1543</v>
      </c>
      <c r="I457" t="str">
        <f>T("067912140")</f>
        <v>067912140</v>
      </c>
      <c r="J457" t="str">
        <f>T("067916139")</f>
        <v>067916139</v>
      </c>
      <c r="K457" t="s">
        <v>1747</v>
      </c>
    </row>
    <row r="458" spans="1:11">
      <c r="A458">
        <v>6084</v>
      </c>
      <c r="B458" t="s">
        <v>1748</v>
      </c>
      <c r="C458" t="s">
        <v>1749</v>
      </c>
      <c r="D458" t="str">
        <f>T("00144")</f>
        <v>00144</v>
      </c>
      <c r="E458" t="s">
        <v>18</v>
      </c>
      <c r="F458" t="s">
        <v>19</v>
      </c>
      <c r="G458" t="s">
        <v>20</v>
      </c>
      <c r="H458" t="s">
        <v>1543</v>
      </c>
      <c r="I458" t="str">
        <f>T("065923869")</f>
        <v>065923869</v>
      </c>
      <c r="J458" t="str">
        <f>T("065911698")</f>
        <v>065911698</v>
      </c>
      <c r="K458" t="s">
        <v>1750</v>
      </c>
    </row>
    <row r="459" spans="1:11">
      <c r="A459">
        <v>6085</v>
      </c>
      <c r="B459" t="s">
        <v>1751</v>
      </c>
      <c r="C459" t="s">
        <v>1752</v>
      </c>
      <c r="D459" t="str">
        <f>T("00197")</f>
        <v>00197</v>
      </c>
      <c r="E459" t="s">
        <v>18</v>
      </c>
      <c r="F459" t="s">
        <v>19</v>
      </c>
      <c r="G459" t="s">
        <v>20</v>
      </c>
      <c r="H459" t="s">
        <v>1543</v>
      </c>
      <c r="I459" t="str">
        <f>T("068073498")</f>
        <v>068073498</v>
      </c>
      <c r="J459" t="str">
        <f>T("068073498")</f>
        <v>068073498</v>
      </c>
      <c r="K459" t="s">
        <v>1753</v>
      </c>
    </row>
    <row r="460" spans="1:11">
      <c r="A460">
        <v>6089</v>
      </c>
      <c r="B460" t="s">
        <v>1754</v>
      </c>
      <c r="C460" t="s">
        <v>1755</v>
      </c>
      <c r="D460" t="str">
        <f>T("00141")</f>
        <v>00141</v>
      </c>
      <c r="E460" t="s">
        <v>18</v>
      </c>
      <c r="F460" t="s">
        <v>19</v>
      </c>
      <c r="G460" t="s">
        <v>20</v>
      </c>
      <c r="H460" t="s">
        <v>1543</v>
      </c>
      <c r="I460" t="str">
        <f>T("068123690")</f>
        <v>068123690</v>
      </c>
      <c r="J460" t="str">
        <f>T("0688640148")</f>
        <v>0688640148</v>
      </c>
      <c r="K460" t="s">
        <v>1756</v>
      </c>
    </row>
    <row r="461" spans="1:11">
      <c r="A461">
        <v>6090</v>
      </c>
      <c r="B461" t="s">
        <v>1757</v>
      </c>
      <c r="C461" t="s">
        <v>1758</v>
      </c>
      <c r="D461" t="str">
        <f>T("00159")</f>
        <v>00159</v>
      </c>
      <c r="E461" t="s">
        <v>18</v>
      </c>
      <c r="F461" t="s">
        <v>19</v>
      </c>
      <c r="G461" t="s">
        <v>20</v>
      </c>
      <c r="H461" t="s">
        <v>1543</v>
      </c>
      <c r="I461" t="str">
        <f>T("0643530808")</f>
        <v>0643530808</v>
      </c>
      <c r="J461" t="str">
        <f>T("064393614")</f>
        <v>064393614</v>
      </c>
      <c r="K461" t="s">
        <v>1759</v>
      </c>
    </row>
    <row r="462" spans="1:11">
      <c r="A462">
        <v>6092</v>
      </c>
      <c r="B462" t="s">
        <v>1760</v>
      </c>
      <c r="C462" t="s">
        <v>1761</v>
      </c>
      <c r="D462" t="str">
        <f>T("00182")</f>
        <v>00182</v>
      </c>
      <c r="E462" t="s">
        <v>18</v>
      </c>
      <c r="F462" t="s">
        <v>19</v>
      </c>
      <c r="G462" t="s">
        <v>20</v>
      </c>
      <c r="H462" t="s">
        <v>1543</v>
      </c>
      <c r="I462" t="str">
        <f>T("0670301307")</f>
        <v>0670301307</v>
      </c>
      <c r="J462" t="str">
        <f>T("0670306037")</f>
        <v>0670306037</v>
      </c>
      <c r="K462" t="s">
        <v>1762</v>
      </c>
    </row>
    <row r="463" spans="1:11">
      <c r="A463">
        <v>6094</v>
      </c>
      <c r="B463" t="s">
        <v>1695</v>
      </c>
      <c r="C463" t="s">
        <v>1763</v>
      </c>
      <c r="D463" t="str">
        <f>T("00185")</f>
        <v>00185</v>
      </c>
      <c r="E463" t="s">
        <v>18</v>
      </c>
      <c r="F463" t="s">
        <v>19</v>
      </c>
      <c r="G463" t="s">
        <v>20</v>
      </c>
      <c r="H463" t="s">
        <v>1543</v>
      </c>
      <c r="I463" t="str">
        <f>T("064882384")</f>
        <v>064882384</v>
      </c>
      <c r="J463" t="str">
        <f>T("064881487")</f>
        <v>064881487</v>
      </c>
      <c r="K463" t="s">
        <v>1764</v>
      </c>
    </row>
    <row r="464" spans="1:11">
      <c r="A464">
        <v>6097</v>
      </c>
      <c r="B464" t="s">
        <v>1765</v>
      </c>
      <c r="C464" t="s">
        <v>1766</v>
      </c>
      <c r="D464" t="str">
        <f>T("00198")</f>
        <v>00198</v>
      </c>
      <c r="E464" t="s">
        <v>18</v>
      </c>
      <c r="F464" t="s">
        <v>19</v>
      </c>
      <c r="G464" t="s">
        <v>20</v>
      </c>
      <c r="H464" t="s">
        <v>1543</v>
      </c>
      <c r="I464" t="str">
        <f>T("068546811")</f>
        <v>068546811</v>
      </c>
      <c r="J464" t="str">
        <f>T("068546811")</f>
        <v>068546811</v>
      </c>
      <c r="K464" t="s">
        <v>1767</v>
      </c>
    </row>
    <row r="465" spans="1:11">
      <c r="A465">
        <v>6111</v>
      </c>
      <c r="B465" t="s">
        <v>1768</v>
      </c>
      <c r="C465" t="s">
        <v>1769</v>
      </c>
      <c r="D465" t="str">
        <f>T("86100")</f>
        <v>86100</v>
      </c>
      <c r="E465" t="s">
        <v>1770</v>
      </c>
      <c r="F465" t="s">
        <v>1771</v>
      </c>
      <c r="G465" t="s">
        <v>1772</v>
      </c>
      <c r="H465" t="s">
        <v>21</v>
      </c>
      <c r="I465" t="str">
        <f>T("0874415784")</f>
        <v>0874415784</v>
      </c>
      <c r="J465" t="str">
        <f>T("0874315350")</f>
        <v>0874315350</v>
      </c>
      <c r="K465" t="s">
        <v>1773</v>
      </c>
    </row>
    <row r="466" spans="1:11">
      <c r="A466">
        <v>6117</v>
      </c>
      <c r="B466" t="s">
        <v>1774</v>
      </c>
      <c r="C466" t="s">
        <v>1775</v>
      </c>
      <c r="D466" t="str">
        <f>T("86039")</f>
        <v>86039</v>
      </c>
      <c r="E466" t="s">
        <v>1776</v>
      </c>
      <c r="F466" t="s">
        <v>1771</v>
      </c>
      <c r="G466" t="s">
        <v>1772</v>
      </c>
      <c r="H466" t="s">
        <v>21</v>
      </c>
      <c r="I466" t="str">
        <f>T("0875703481")</f>
        <v>0875703481</v>
      </c>
      <c r="J466" t="str">
        <f>T("0875630481")</f>
        <v>0875630481</v>
      </c>
      <c r="K466" t="s">
        <v>1777</v>
      </c>
    </row>
    <row r="467" spans="1:11">
      <c r="A467">
        <v>6120</v>
      </c>
      <c r="B467" t="s">
        <v>1778</v>
      </c>
      <c r="C467" t="s">
        <v>1779</v>
      </c>
      <c r="D467" t="str">
        <f>T("86079")</f>
        <v>86079</v>
      </c>
      <c r="E467" t="s">
        <v>1780</v>
      </c>
      <c r="F467" t="s">
        <v>1781</v>
      </c>
      <c r="G467" t="s">
        <v>1772</v>
      </c>
      <c r="H467" t="s">
        <v>21</v>
      </c>
      <c r="I467" t="str">
        <f>T("0865901529")</f>
        <v>0865901529</v>
      </c>
      <c r="J467" t="str">
        <f>T("0865900328")</f>
        <v>0865900328</v>
      </c>
      <c r="K467" t="s">
        <v>1782</v>
      </c>
    </row>
    <row r="468" spans="1:11">
      <c r="A468">
        <v>6205</v>
      </c>
      <c r="B468" t="s">
        <v>1783</v>
      </c>
      <c r="C468" t="s">
        <v>1784</v>
      </c>
      <c r="D468" t="str">
        <f>T("66100")</f>
        <v>66100</v>
      </c>
      <c r="E468" t="s">
        <v>1785</v>
      </c>
      <c r="F468" t="s">
        <v>1786</v>
      </c>
      <c r="G468" t="s">
        <v>1787</v>
      </c>
      <c r="H468" t="s">
        <v>21</v>
      </c>
      <c r="I468" t="str">
        <f>T("0871574380")</f>
        <v>0871574380</v>
      </c>
      <c r="J468" t="str">
        <f>T("0871563830")</f>
        <v>0871563830</v>
      </c>
      <c r="K468" t="s">
        <v>1788</v>
      </c>
    </row>
    <row r="469" spans="1:11">
      <c r="A469">
        <v>6206</v>
      </c>
      <c r="B469" t="s">
        <v>1789</v>
      </c>
      <c r="C469" t="s">
        <v>1790</v>
      </c>
      <c r="D469" t="str">
        <f>T("66034")</f>
        <v>66034</v>
      </c>
      <c r="E469" t="s">
        <v>1791</v>
      </c>
      <c r="F469" t="s">
        <v>1786</v>
      </c>
      <c r="G469" t="s">
        <v>1787</v>
      </c>
      <c r="H469" t="s">
        <v>21</v>
      </c>
      <c r="I469" t="str">
        <f>T("0872713848")</f>
        <v>0872713848</v>
      </c>
      <c r="J469" t="str">
        <f>T("0872967432")</f>
        <v>0872967432</v>
      </c>
      <c r="K469" t="s">
        <v>1792</v>
      </c>
    </row>
    <row r="470" spans="1:11">
      <c r="A470">
        <v>6221</v>
      </c>
      <c r="B470" t="s">
        <v>1793</v>
      </c>
      <c r="C470" t="s">
        <v>1794</v>
      </c>
      <c r="D470" t="str">
        <f>T("66023")</f>
        <v>66023</v>
      </c>
      <c r="E470" t="s">
        <v>1795</v>
      </c>
      <c r="F470" t="s">
        <v>1786</v>
      </c>
      <c r="G470" t="s">
        <v>1787</v>
      </c>
      <c r="H470" t="s">
        <v>21</v>
      </c>
      <c r="I470" t="str">
        <f>T("0854911300")</f>
        <v>0854911300</v>
      </c>
      <c r="J470" t="str">
        <f>T("0854911300")</f>
        <v>0854911300</v>
      </c>
      <c r="K470" t="s">
        <v>1796</v>
      </c>
    </row>
    <row r="471" spans="1:11">
      <c r="A471">
        <v>6225</v>
      </c>
      <c r="B471" t="s">
        <v>1797</v>
      </c>
      <c r="C471" t="s">
        <v>1798</v>
      </c>
      <c r="D471" t="str">
        <f>T("66054")</f>
        <v>66054</v>
      </c>
      <c r="E471" t="s">
        <v>1799</v>
      </c>
      <c r="F471" t="s">
        <v>1786</v>
      </c>
      <c r="G471" t="s">
        <v>1787</v>
      </c>
      <c r="H471" t="s">
        <v>21</v>
      </c>
      <c r="I471" t="str">
        <f>T("0873367679")</f>
        <v>0873367679</v>
      </c>
      <c r="J471" t="str">
        <f>T("0873364594")</f>
        <v>0873364594</v>
      </c>
      <c r="K471" t="s">
        <v>1800</v>
      </c>
    </row>
    <row r="472" spans="1:11">
      <c r="A472">
        <v>6226</v>
      </c>
      <c r="B472" t="s">
        <v>1801</v>
      </c>
      <c r="C472" t="s">
        <v>1802</v>
      </c>
      <c r="D472" t="str">
        <f>T("66016")</f>
        <v>66016</v>
      </c>
      <c r="E472" t="s">
        <v>1803</v>
      </c>
      <c r="F472" t="s">
        <v>1786</v>
      </c>
      <c r="G472" t="s">
        <v>1787</v>
      </c>
      <c r="H472" t="s">
        <v>21</v>
      </c>
      <c r="I472" t="str">
        <f>T("0871440528")</f>
        <v>0871440528</v>
      </c>
      <c r="J472" t="str">
        <f>T("087182741")</f>
        <v>087182741</v>
      </c>
      <c r="K472" t="s">
        <v>1804</v>
      </c>
    </row>
    <row r="473" spans="1:11">
      <c r="A473">
        <v>6230</v>
      </c>
      <c r="B473" t="s">
        <v>1805</v>
      </c>
      <c r="C473" t="s">
        <v>1806</v>
      </c>
      <c r="D473" t="str">
        <f>T("66041")</f>
        <v>66041</v>
      </c>
      <c r="E473" t="s">
        <v>1807</v>
      </c>
      <c r="F473" t="s">
        <v>1786</v>
      </c>
      <c r="G473" t="s">
        <v>1787</v>
      </c>
      <c r="H473" t="s">
        <v>21</v>
      </c>
      <c r="I473" t="str">
        <f>T("0872888020")</f>
        <v>0872888020</v>
      </c>
      <c r="J473" t="str">
        <f>T("0872888524")</f>
        <v>0872888524</v>
      </c>
      <c r="K473" t="s">
        <v>1808</v>
      </c>
    </row>
    <row r="474" spans="1:11">
      <c r="A474">
        <v>6311</v>
      </c>
      <c r="B474" t="s">
        <v>1809</v>
      </c>
      <c r="C474" t="s">
        <v>1810</v>
      </c>
      <c r="D474" t="str">
        <f>T("67100")</f>
        <v>67100</v>
      </c>
      <c r="E474" t="s">
        <v>1811</v>
      </c>
      <c r="F474" t="s">
        <v>1812</v>
      </c>
      <c r="G474" t="s">
        <v>1787</v>
      </c>
      <c r="H474" t="s">
        <v>21</v>
      </c>
      <c r="I474" t="str">
        <f>T("0862315655")</f>
        <v>0862315655</v>
      </c>
      <c r="J474" t="str">
        <f>T("0862315655")</f>
        <v>0862315655</v>
      </c>
      <c r="K474" t="s">
        <v>1813</v>
      </c>
    </row>
    <row r="475" spans="1:11">
      <c r="A475">
        <v>6313</v>
      </c>
      <c r="B475" t="s">
        <v>1814</v>
      </c>
      <c r="C475" t="s">
        <v>1815</v>
      </c>
      <c r="D475" t="str">
        <f>T("67051")</f>
        <v>67051</v>
      </c>
      <c r="E475" t="s">
        <v>1816</v>
      </c>
      <c r="F475" t="s">
        <v>1812</v>
      </c>
      <c r="G475" t="s">
        <v>1787</v>
      </c>
      <c r="H475" t="s">
        <v>21</v>
      </c>
      <c r="I475" t="str">
        <f>T("086337272")</f>
        <v>086337272</v>
      </c>
      <c r="J475" t="str">
        <f>T("086337272")</f>
        <v>086337272</v>
      </c>
      <c r="K475" t="s">
        <v>1817</v>
      </c>
    </row>
    <row r="476" spans="1:11">
      <c r="A476">
        <v>6321</v>
      </c>
      <c r="B476" t="s">
        <v>1818</v>
      </c>
      <c r="C476" t="s">
        <v>1819</v>
      </c>
      <c r="D476" t="str">
        <f>T("67039")</f>
        <v>67039</v>
      </c>
      <c r="E476" t="s">
        <v>1820</v>
      </c>
      <c r="F476" t="s">
        <v>1812</v>
      </c>
      <c r="G476" t="s">
        <v>1787</v>
      </c>
      <c r="H476" t="s">
        <v>21</v>
      </c>
      <c r="I476" t="str">
        <f>T("0864568458")</f>
        <v>0864568458</v>
      </c>
      <c r="J476" t="str">
        <f>T("")</f>
        <v/>
      </c>
      <c r="K476" t="s">
        <v>1821</v>
      </c>
    </row>
    <row r="477" spans="1:11">
      <c r="A477">
        <v>6322</v>
      </c>
      <c r="B477" t="s">
        <v>1822</v>
      </c>
      <c r="C477" t="s">
        <v>1823</v>
      </c>
      <c r="D477" t="str">
        <f>T("67031")</f>
        <v>67031</v>
      </c>
      <c r="E477" t="s">
        <v>1824</v>
      </c>
      <c r="F477" t="s">
        <v>1812</v>
      </c>
      <c r="G477" t="s">
        <v>1787</v>
      </c>
      <c r="H477" t="s">
        <v>21</v>
      </c>
      <c r="I477" t="str">
        <f>T("0864845348")</f>
        <v>0864845348</v>
      </c>
      <c r="J477" t="str">
        <f>T("0864845348")</f>
        <v>0864845348</v>
      </c>
      <c r="K477" t="s">
        <v>1825</v>
      </c>
    </row>
    <row r="478" spans="1:11">
      <c r="A478">
        <v>6416</v>
      </c>
      <c r="B478" t="s">
        <v>1826</v>
      </c>
      <c r="C478" t="s">
        <v>1827</v>
      </c>
      <c r="D478" t="str">
        <f>T("64100")</f>
        <v>64100</v>
      </c>
      <c r="E478" t="s">
        <v>1828</v>
      </c>
      <c r="F478" t="s">
        <v>1829</v>
      </c>
      <c r="G478" t="s">
        <v>1787</v>
      </c>
      <c r="H478" t="s">
        <v>21</v>
      </c>
      <c r="I478" t="str">
        <f>T("0861246019")</f>
        <v>0861246019</v>
      </c>
      <c r="J478" t="str">
        <f>T("0861253779")</f>
        <v>0861253779</v>
      </c>
      <c r="K478" t="s">
        <v>1830</v>
      </c>
    </row>
    <row r="479" spans="1:11">
      <c r="A479">
        <v>6424</v>
      </c>
      <c r="B479" t="s">
        <v>1831</v>
      </c>
      <c r="C479" t="s">
        <v>1832</v>
      </c>
      <c r="D479" t="str">
        <f>T("64011")</f>
        <v>64011</v>
      </c>
      <c r="E479" t="s">
        <v>1833</v>
      </c>
      <c r="F479" t="s">
        <v>1829</v>
      </c>
      <c r="G479" t="s">
        <v>1787</v>
      </c>
      <c r="H479" t="s">
        <v>21</v>
      </c>
      <c r="I479" t="str">
        <f>T("0861714212")</f>
        <v>0861714212</v>
      </c>
      <c r="J479" t="str">
        <f>T("0861715049")</f>
        <v>0861715049</v>
      </c>
      <c r="K479" t="s">
        <v>1834</v>
      </c>
    </row>
    <row r="480" spans="1:11">
      <c r="A480">
        <v>6510</v>
      </c>
      <c r="B480" t="s">
        <v>1835</v>
      </c>
      <c r="C480" t="s">
        <v>1836</v>
      </c>
      <c r="D480" t="str">
        <f>T("65121")</f>
        <v>65121</v>
      </c>
      <c r="E480" t="s">
        <v>1837</v>
      </c>
      <c r="F480" t="s">
        <v>1838</v>
      </c>
      <c r="G480" t="s">
        <v>1787</v>
      </c>
      <c r="H480" t="s">
        <v>21</v>
      </c>
      <c r="I480" t="str">
        <f>T("08527511")</f>
        <v>08527511</v>
      </c>
      <c r="J480" t="str">
        <f>T("08528007")</f>
        <v>08528007</v>
      </c>
      <c r="K480" t="s">
        <v>1839</v>
      </c>
    </row>
    <row r="481" spans="1:11">
      <c r="A481">
        <v>6511</v>
      </c>
      <c r="B481" t="s">
        <v>1840</v>
      </c>
      <c r="C481" t="s">
        <v>1841</v>
      </c>
      <c r="D481" t="str">
        <f>T("65027")</f>
        <v>65027</v>
      </c>
      <c r="E481" t="s">
        <v>1842</v>
      </c>
      <c r="F481" t="s">
        <v>1838</v>
      </c>
      <c r="G481" t="s">
        <v>1787</v>
      </c>
      <c r="H481" t="s">
        <v>21</v>
      </c>
      <c r="I481" t="str">
        <f>T("0858541627")</f>
        <v>0858541627</v>
      </c>
      <c r="J481" t="str">
        <f>T("0858541627")</f>
        <v>0858541627</v>
      </c>
      <c r="K481" t="s">
        <v>1843</v>
      </c>
    </row>
    <row r="482" spans="1:11">
      <c r="A482">
        <v>6515</v>
      </c>
      <c r="B482" t="s">
        <v>1844</v>
      </c>
      <c r="C482" t="s">
        <v>1845</v>
      </c>
      <c r="D482" t="str">
        <f>T("65129")</f>
        <v>65129</v>
      </c>
      <c r="E482" t="s">
        <v>1837</v>
      </c>
      <c r="F482" t="s">
        <v>1838</v>
      </c>
      <c r="G482" t="s">
        <v>1787</v>
      </c>
      <c r="H482" t="s">
        <v>21</v>
      </c>
      <c r="I482" t="str">
        <f>T("0854309353")</f>
        <v>0854309353</v>
      </c>
      <c r="J482" t="str">
        <f>T("0854315193")</f>
        <v>0854315193</v>
      </c>
      <c r="K482" t="s">
        <v>1846</v>
      </c>
    </row>
    <row r="483" spans="1:11">
      <c r="A483">
        <v>6518</v>
      </c>
      <c r="B483" t="s">
        <v>1847</v>
      </c>
      <c r="C483" t="s">
        <v>1848</v>
      </c>
      <c r="D483" t="str">
        <f>T("65015")</f>
        <v>65015</v>
      </c>
      <c r="E483" t="s">
        <v>1849</v>
      </c>
      <c r="F483" t="s">
        <v>1838</v>
      </c>
      <c r="G483" t="s">
        <v>1787</v>
      </c>
      <c r="H483" t="s">
        <v>21</v>
      </c>
      <c r="I483" t="str">
        <f>T("0854491606")</f>
        <v>0854491606</v>
      </c>
      <c r="J483" t="str">
        <f>T("0854491606")</f>
        <v>0854491606</v>
      </c>
      <c r="K483" t="s">
        <v>1850</v>
      </c>
    </row>
    <row r="484" spans="1:11">
      <c r="A484">
        <v>6519</v>
      </c>
      <c r="B484" t="s">
        <v>1851</v>
      </c>
      <c r="C484" t="s">
        <v>1852</v>
      </c>
      <c r="D484" t="str">
        <f>T("65127")</f>
        <v>65127</v>
      </c>
      <c r="E484" t="s">
        <v>1837</v>
      </c>
      <c r="F484" t="s">
        <v>1838</v>
      </c>
      <c r="G484" t="s">
        <v>1787</v>
      </c>
      <c r="H484" t="s">
        <v>21</v>
      </c>
      <c r="I484" t="str">
        <f>T("085693265")</f>
        <v>085693265</v>
      </c>
      <c r="J484" t="str">
        <f>T("085693260")</f>
        <v>085693260</v>
      </c>
      <c r="K484" t="s">
        <v>1853</v>
      </c>
    </row>
    <row r="485" spans="1:11">
      <c r="A485">
        <v>6618</v>
      </c>
      <c r="B485" t="s">
        <v>1854</v>
      </c>
      <c r="C485" t="s">
        <v>1855</v>
      </c>
      <c r="D485" t="str">
        <f>T("84078")</f>
        <v>84078</v>
      </c>
      <c r="E485" t="s">
        <v>1856</v>
      </c>
      <c r="F485" t="s">
        <v>1857</v>
      </c>
      <c r="G485" t="s">
        <v>1858</v>
      </c>
      <c r="H485" t="s">
        <v>1543</v>
      </c>
      <c r="I485" t="str">
        <f>T("09744749")</f>
        <v>09744749</v>
      </c>
      <c r="J485" t="str">
        <f>T("09744749")</f>
        <v>09744749</v>
      </c>
      <c r="K485" t="s">
        <v>1859</v>
      </c>
    </row>
    <row r="486" spans="1:11">
      <c r="A486">
        <v>6619</v>
      </c>
      <c r="B486" t="s">
        <v>1860</v>
      </c>
      <c r="C486" t="s">
        <v>1861</v>
      </c>
      <c r="D486" t="str">
        <f>T("84014")</f>
        <v>84014</v>
      </c>
      <c r="E486" t="s">
        <v>1862</v>
      </c>
      <c r="F486" t="s">
        <v>1857</v>
      </c>
      <c r="G486" t="s">
        <v>1858</v>
      </c>
      <c r="H486" t="s">
        <v>1543</v>
      </c>
      <c r="I486" t="str">
        <f>T("0815177443")</f>
        <v>0815177443</v>
      </c>
      <c r="J486" t="str">
        <f>T("")</f>
        <v/>
      </c>
      <c r="K486" t="s">
        <v>1863</v>
      </c>
    </row>
    <row r="487" spans="1:11">
      <c r="A487">
        <v>6623</v>
      </c>
      <c r="B487" t="s">
        <v>1864</v>
      </c>
      <c r="C487" t="s">
        <v>1865</v>
      </c>
      <c r="D487" t="str">
        <f>T("84087")</f>
        <v>84087</v>
      </c>
      <c r="E487" t="s">
        <v>1866</v>
      </c>
      <c r="F487" t="s">
        <v>1857</v>
      </c>
      <c r="G487" t="s">
        <v>1858</v>
      </c>
      <c r="H487" t="s">
        <v>1543</v>
      </c>
      <c r="I487" t="str">
        <f>T("0815136382")</f>
        <v>0815136382</v>
      </c>
      <c r="J487" t="str">
        <f>T("0819680008")</f>
        <v>0819680008</v>
      </c>
      <c r="K487" t="s">
        <v>1867</v>
      </c>
    </row>
    <row r="488" spans="1:11">
      <c r="A488">
        <v>6628</v>
      </c>
      <c r="B488" t="s">
        <v>1868</v>
      </c>
      <c r="C488" t="s">
        <v>1869</v>
      </c>
      <c r="D488" t="str">
        <f>T("84036")</f>
        <v>84036</v>
      </c>
      <c r="E488" t="s">
        <v>1870</v>
      </c>
      <c r="F488" t="s">
        <v>1857</v>
      </c>
      <c r="G488" t="s">
        <v>1858</v>
      </c>
      <c r="H488" t="s">
        <v>1543</v>
      </c>
      <c r="I488" t="str">
        <f>T("097523155")</f>
        <v>097523155</v>
      </c>
      <c r="J488" t="str">
        <f>T("0975525001")</f>
        <v>0975525001</v>
      </c>
      <c r="K488" t="s">
        <v>1871</v>
      </c>
    </row>
    <row r="489" spans="1:11">
      <c r="A489">
        <v>6637</v>
      </c>
      <c r="B489" t="s">
        <v>1872</v>
      </c>
      <c r="C489" t="s">
        <v>1873</v>
      </c>
      <c r="D489" t="str">
        <f>T("84123")</f>
        <v>84123</v>
      </c>
      <c r="E489" t="s">
        <v>1874</v>
      </c>
      <c r="F489" t="s">
        <v>1857</v>
      </c>
      <c r="G489" t="s">
        <v>1858</v>
      </c>
      <c r="H489" t="s">
        <v>1543</v>
      </c>
      <c r="I489" t="str">
        <f>T("089221304")</f>
        <v>089221304</v>
      </c>
      <c r="J489" t="str">
        <f>T("0817132970")</f>
        <v>0817132970</v>
      </c>
      <c r="K489" t="s">
        <v>1875</v>
      </c>
    </row>
    <row r="490" spans="1:11">
      <c r="A490">
        <v>6716</v>
      </c>
      <c r="B490" t="s">
        <v>1876</v>
      </c>
      <c r="C490" t="s">
        <v>1877</v>
      </c>
      <c r="D490" t="str">
        <f>T("83100")</f>
        <v>83100</v>
      </c>
      <c r="E490" t="s">
        <v>1878</v>
      </c>
      <c r="F490" t="s">
        <v>1879</v>
      </c>
      <c r="G490" t="s">
        <v>1858</v>
      </c>
      <c r="H490" t="s">
        <v>1543</v>
      </c>
      <c r="I490" t="str">
        <f>T("0825248222")</f>
        <v>0825248222</v>
      </c>
      <c r="J490" t="str">
        <f>T("0825402022")</f>
        <v>0825402022</v>
      </c>
      <c r="K490" t="s">
        <v>1880</v>
      </c>
    </row>
    <row r="491" spans="1:11">
      <c r="A491">
        <v>6721</v>
      </c>
      <c r="B491" t="s">
        <v>1881</v>
      </c>
      <c r="C491" t="s">
        <v>1882</v>
      </c>
      <c r="D491" t="str">
        <f>T("83035")</f>
        <v>83035</v>
      </c>
      <c r="E491" t="s">
        <v>1883</v>
      </c>
      <c r="F491" t="s">
        <v>1879</v>
      </c>
      <c r="G491" t="s">
        <v>1858</v>
      </c>
      <c r="H491" t="s">
        <v>1543</v>
      </c>
      <c r="I491" t="str">
        <f>T("0825441966")</f>
        <v>0825441966</v>
      </c>
      <c r="J491" t="str">
        <f>T("0825441966")</f>
        <v>0825441966</v>
      </c>
      <c r="K491" t="s">
        <v>1884</v>
      </c>
    </row>
    <row r="492" spans="1:11">
      <c r="A492">
        <v>6817</v>
      </c>
      <c r="B492" t="s">
        <v>1885</v>
      </c>
      <c r="C492" t="s">
        <v>1886</v>
      </c>
      <c r="D492" t="str">
        <f>T("81022")</f>
        <v>81022</v>
      </c>
      <c r="E492" t="s">
        <v>1887</v>
      </c>
      <c r="F492" t="s">
        <v>1888</v>
      </c>
      <c r="G492" t="s">
        <v>1858</v>
      </c>
      <c r="H492" t="s">
        <v>1543</v>
      </c>
      <c r="I492" t="str">
        <f>T("0823469474")</f>
        <v>0823469474</v>
      </c>
      <c r="J492" t="str">
        <f>T("0823493560")</f>
        <v>0823493560</v>
      </c>
      <c r="K492" t="s">
        <v>1889</v>
      </c>
    </row>
    <row r="493" spans="1:11">
      <c r="A493">
        <v>6825</v>
      </c>
      <c r="B493" t="s">
        <v>1890</v>
      </c>
      <c r="C493" t="s">
        <v>1891</v>
      </c>
      <c r="D493" t="str">
        <f>T("81031")</f>
        <v>81031</v>
      </c>
      <c r="E493" t="s">
        <v>1892</v>
      </c>
      <c r="F493" t="s">
        <v>1888</v>
      </c>
      <c r="G493" t="s">
        <v>1858</v>
      </c>
      <c r="H493" t="s">
        <v>1543</v>
      </c>
      <c r="I493" t="str">
        <f>T("0818902818")</f>
        <v>0818902818</v>
      </c>
      <c r="J493" t="str">
        <f>T("0815038877")</f>
        <v>0815038877</v>
      </c>
      <c r="K493" t="s">
        <v>1893</v>
      </c>
    </row>
    <row r="494" spans="1:11">
      <c r="A494">
        <v>6828</v>
      </c>
      <c r="B494" t="s">
        <v>1894</v>
      </c>
      <c r="C494" t="s">
        <v>1895</v>
      </c>
      <c r="D494" t="str">
        <f>T("81020")</f>
        <v>81020</v>
      </c>
      <c r="E494" t="s">
        <v>1896</v>
      </c>
      <c r="F494" t="s">
        <v>1888</v>
      </c>
      <c r="G494" t="s">
        <v>1858</v>
      </c>
      <c r="H494" t="s">
        <v>1543</v>
      </c>
      <c r="I494" t="str">
        <f>T("0823422410")</f>
        <v>0823422410</v>
      </c>
      <c r="J494" t="str">
        <f>T("0823422410")</f>
        <v>0823422410</v>
      </c>
      <c r="K494" t="s">
        <v>1897</v>
      </c>
    </row>
    <row r="495" spans="1:11">
      <c r="A495">
        <v>6835</v>
      </c>
      <c r="B495" t="s">
        <v>1898</v>
      </c>
      <c r="C495" t="s">
        <v>1899</v>
      </c>
      <c r="D495" t="str">
        <f>T("81100")</f>
        <v>81100</v>
      </c>
      <c r="E495" t="s">
        <v>1900</v>
      </c>
      <c r="F495" t="s">
        <v>1888</v>
      </c>
      <c r="G495" t="s">
        <v>1858</v>
      </c>
      <c r="H495" t="s">
        <v>1543</v>
      </c>
      <c r="I495" t="str">
        <f>T("0823322322")</f>
        <v>0823322322</v>
      </c>
      <c r="J495" t="str">
        <f>T("0823322622")</f>
        <v>0823322622</v>
      </c>
      <c r="K495" t="s">
        <v>1901</v>
      </c>
    </row>
    <row r="496" spans="1:11">
      <c r="A496">
        <v>6839</v>
      </c>
      <c r="B496" t="s">
        <v>1872</v>
      </c>
      <c r="C496" t="s">
        <v>1902</v>
      </c>
      <c r="D496" t="str">
        <f>T("81100")</f>
        <v>81100</v>
      </c>
      <c r="E496" t="s">
        <v>1900</v>
      </c>
      <c r="F496" t="s">
        <v>1888</v>
      </c>
      <c r="G496" t="s">
        <v>1858</v>
      </c>
      <c r="H496" t="s">
        <v>1543</v>
      </c>
      <c r="I496" t="str">
        <f>T("0817122865")</f>
        <v>0817122865</v>
      </c>
      <c r="J496" t="str">
        <f>T("0817132970")</f>
        <v>0817132970</v>
      </c>
      <c r="K496" t="s">
        <v>1875</v>
      </c>
    </row>
    <row r="497" spans="1:11">
      <c r="A497">
        <v>6917</v>
      </c>
      <c r="B497" t="s">
        <v>1903</v>
      </c>
      <c r="C497" t="s">
        <v>1904</v>
      </c>
      <c r="D497" t="str">
        <f>T("80059")</f>
        <v>80059</v>
      </c>
      <c r="E497" t="s">
        <v>1905</v>
      </c>
      <c r="F497" t="s">
        <v>1906</v>
      </c>
      <c r="G497" t="s">
        <v>1858</v>
      </c>
      <c r="H497" t="s">
        <v>1543</v>
      </c>
      <c r="I497" t="str">
        <f>T("0818497950")</f>
        <v>0818497950</v>
      </c>
      <c r="J497" t="str">
        <f>T("0818492990")</f>
        <v>0818492990</v>
      </c>
      <c r="K497" t="s">
        <v>1907</v>
      </c>
    </row>
    <row r="498" spans="1:11">
      <c r="A498">
        <v>6920</v>
      </c>
      <c r="B498" t="s">
        <v>1908</v>
      </c>
      <c r="C498" t="s">
        <v>1909</v>
      </c>
      <c r="D498" t="str">
        <f>T("80021")</f>
        <v>80021</v>
      </c>
      <c r="E498" t="s">
        <v>1910</v>
      </c>
      <c r="F498" t="s">
        <v>1906</v>
      </c>
      <c r="G498" t="s">
        <v>1858</v>
      </c>
      <c r="H498" t="s">
        <v>1543</v>
      </c>
      <c r="I498" t="str">
        <f>T("0818601874")</f>
        <v>0818601874</v>
      </c>
      <c r="J498" t="str">
        <f>T("0818604744")</f>
        <v>0818604744</v>
      </c>
      <c r="K498" t="s">
        <v>1911</v>
      </c>
    </row>
    <row r="499" spans="1:11">
      <c r="A499">
        <v>6934</v>
      </c>
      <c r="B499" t="s">
        <v>1912</v>
      </c>
      <c r="C499" t="s">
        <v>1913</v>
      </c>
      <c r="D499" t="str">
        <f>T("80143")</f>
        <v>80143</v>
      </c>
      <c r="E499" t="s">
        <v>1914</v>
      </c>
      <c r="F499" t="s">
        <v>1906</v>
      </c>
      <c r="G499" t="s">
        <v>1858</v>
      </c>
      <c r="H499" t="s">
        <v>1543</v>
      </c>
      <c r="I499" t="str">
        <f>T("0815538770")</f>
        <v>0815538770</v>
      </c>
      <c r="J499" t="str">
        <f>T("0815538770")</f>
        <v>0815538770</v>
      </c>
      <c r="K499" t="s">
        <v>1915</v>
      </c>
    </row>
    <row r="500" spans="1:11">
      <c r="A500">
        <v>6939</v>
      </c>
      <c r="B500" t="s">
        <v>1916</v>
      </c>
      <c r="C500" t="s">
        <v>1917</v>
      </c>
      <c r="D500" t="str">
        <f>T("80131")</f>
        <v>80131</v>
      </c>
      <c r="E500" t="s">
        <v>1914</v>
      </c>
      <c r="F500" t="s">
        <v>1906</v>
      </c>
      <c r="G500" t="s">
        <v>1858</v>
      </c>
      <c r="H500" t="s">
        <v>1543</v>
      </c>
      <c r="I500" t="str">
        <f>T("0815462929")</f>
        <v>0815462929</v>
      </c>
      <c r="J500" t="str">
        <f>T("0815462929")</f>
        <v>0815462929</v>
      </c>
      <c r="K500" t="s">
        <v>1918</v>
      </c>
    </row>
    <row r="501" spans="1:11">
      <c r="A501">
        <v>6945</v>
      </c>
      <c r="B501" t="s">
        <v>1919</v>
      </c>
      <c r="C501" t="s">
        <v>1920</v>
      </c>
      <c r="D501" t="str">
        <f>T("80013")</f>
        <v>80013</v>
      </c>
      <c r="E501" t="s">
        <v>1921</v>
      </c>
      <c r="F501" t="s">
        <v>1906</v>
      </c>
      <c r="G501" t="s">
        <v>1858</v>
      </c>
      <c r="H501" t="s">
        <v>1543</v>
      </c>
      <c r="I501" t="str">
        <f>T("0815225823")</f>
        <v>0815225823</v>
      </c>
      <c r="J501" t="str">
        <f>T("0815225628")</f>
        <v>0815225628</v>
      </c>
      <c r="K501" t="s">
        <v>1922</v>
      </c>
    </row>
    <row r="502" spans="1:11">
      <c r="A502">
        <v>6951</v>
      </c>
      <c r="B502" t="s">
        <v>1923</v>
      </c>
      <c r="C502" t="s">
        <v>1924</v>
      </c>
      <c r="D502" t="str">
        <f>T("80020")</f>
        <v>80020</v>
      </c>
      <c r="E502" t="s">
        <v>1925</v>
      </c>
      <c r="F502" t="s">
        <v>1906</v>
      </c>
      <c r="G502" t="s">
        <v>1858</v>
      </c>
      <c r="H502" t="s">
        <v>1543</v>
      </c>
      <c r="I502" t="str">
        <f>T("0818345475")</f>
        <v>0818345475</v>
      </c>
      <c r="J502" t="str">
        <f>T("0818345475")</f>
        <v>0818345475</v>
      </c>
      <c r="K502" t="s">
        <v>1926</v>
      </c>
    </row>
    <row r="503" spans="1:11">
      <c r="A503">
        <v>6953</v>
      </c>
      <c r="B503" t="s">
        <v>1927</v>
      </c>
      <c r="C503" t="s">
        <v>1928</v>
      </c>
      <c r="D503" t="str">
        <f>T("80029")</f>
        <v>80029</v>
      </c>
      <c r="E503" t="s">
        <v>1929</v>
      </c>
      <c r="F503" t="s">
        <v>1906</v>
      </c>
      <c r="G503" t="s">
        <v>1858</v>
      </c>
      <c r="H503" t="s">
        <v>1543</v>
      </c>
      <c r="I503" t="str">
        <f>T("0818334327")</f>
        <v>0818334327</v>
      </c>
      <c r="J503" t="str">
        <f>T("0818339422")</f>
        <v>0818339422</v>
      </c>
      <c r="K503" t="s">
        <v>1930</v>
      </c>
    </row>
    <row r="504" spans="1:11">
      <c r="A504">
        <v>6954</v>
      </c>
      <c r="B504" t="s">
        <v>1931</v>
      </c>
      <c r="C504" t="s">
        <v>1932</v>
      </c>
      <c r="D504" t="str">
        <f>T("80027")</f>
        <v>80027</v>
      </c>
      <c r="E504" t="s">
        <v>1933</v>
      </c>
      <c r="F504" t="s">
        <v>1906</v>
      </c>
      <c r="G504" t="s">
        <v>1858</v>
      </c>
      <c r="H504" t="s">
        <v>1543</v>
      </c>
      <c r="I504" t="str">
        <f>T("0818307324")</f>
        <v>0818307324</v>
      </c>
      <c r="J504" t="str">
        <f>T("0818345473")</f>
        <v>0818345473</v>
      </c>
      <c r="K504" t="s">
        <v>1934</v>
      </c>
    </row>
    <row r="505" spans="1:11">
      <c r="A505">
        <v>6962</v>
      </c>
      <c r="B505" t="s">
        <v>1935</v>
      </c>
      <c r="C505" t="s">
        <v>1936</v>
      </c>
      <c r="D505" t="str">
        <f>T("80019")</f>
        <v>80019</v>
      </c>
      <c r="E505" t="s">
        <v>1937</v>
      </c>
      <c r="F505" t="s">
        <v>1906</v>
      </c>
      <c r="G505" t="s">
        <v>1858</v>
      </c>
      <c r="H505" t="s">
        <v>1543</v>
      </c>
      <c r="I505" t="str">
        <f>T("0818186579")</f>
        <v>0818186579</v>
      </c>
      <c r="J505" t="str">
        <f>T("0818186579")</f>
        <v>0818186579</v>
      </c>
      <c r="K505" t="s">
        <v>1938</v>
      </c>
    </row>
    <row r="506" spans="1:11">
      <c r="A506">
        <v>6965</v>
      </c>
      <c r="B506" t="s">
        <v>1939</v>
      </c>
      <c r="C506" t="s">
        <v>1940</v>
      </c>
      <c r="D506" t="str">
        <f>T("80128")</f>
        <v>80128</v>
      </c>
      <c r="E506" t="s">
        <v>1914</v>
      </c>
      <c r="F506" t="s">
        <v>1906</v>
      </c>
      <c r="G506" t="s">
        <v>1858</v>
      </c>
      <c r="H506" t="s">
        <v>1543</v>
      </c>
      <c r="I506" t="str">
        <f>T("0812298572")</f>
        <v>0812298572</v>
      </c>
      <c r="J506" t="str">
        <f>T("0812298572")</f>
        <v>0812298572</v>
      </c>
      <c r="K506" t="s">
        <v>1941</v>
      </c>
    </row>
    <row r="507" spans="1:11">
      <c r="A507">
        <v>6966</v>
      </c>
      <c r="B507" t="s">
        <v>1942</v>
      </c>
      <c r="C507" t="s">
        <v>1943</v>
      </c>
      <c r="D507" t="str">
        <f>T("80017")</f>
        <v>80017</v>
      </c>
      <c r="E507" t="s">
        <v>1944</v>
      </c>
      <c r="F507" t="s">
        <v>1906</v>
      </c>
      <c r="G507" t="s">
        <v>1858</v>
      </c>
      <c r="H507" t="s">
        <v>1543</v>
      </c>
      <c r="I507" t="str">
        <f>T("0817115306")</f>
        <v>0817115306</v>
      </c>
      <c r="J507" t="str">
        <f>T("0817115306")</f>
        <v>0817115306</v>
      </c>
      <c r="K507" t="s">
        <v>1945</v>
      </c>
    </row>
    <row r="508" spans="1:11">
      <c r="A508">
        <v>6971</v>
      </c>
      <c r="B508" t="s">
        <v>1946</v>
      </c>
      <c r="C508" t="s">
        <v>1947</v>
      </c>
      <c r="D508" t="str">
        <f>T("81041")</f>
        <v>81041</v>
      </c>
      <c r="E508" t="s">
        <v>1948</v>
      </c>
      <c r="F508" t="s">
        <v>1888</v>
      </c>
      <c r="G508" t="s">
        <v>1858</v>
      </c>
      <c r="H508" t="s">
        <v>1543</v>
      </c>
      <c r="I508" t="str">
        <f>T("0823620147")</f>
        <v>0823620147</v>
      </c>
      <c r="J508" t="str">
        <f>T("0823620148")</f>
        <v>0823620148</v>
      </c>
      <c r="K508" t="s">
        <v>1949</v>
      </c>
    </row>
    <row r="509" spans="1:11">
      <c r="A509">
        <v>6976</v>
      </c>
      <c r="B509" t="s">
        <v>1950</v>
      </c>
      <c r="C509" t="s">
        <v>1951</v>
      </c>
      <c r="D509" t="str">
        <f>T("80134")</f>
        <v>80134</v>
      </c>
      <c r="E509" t="s">
        <v>1914</v>
      </c>
      <c r="F509" t="s">
        <v>1906</v>
      </c>
      <c r="G509" t="s">
        <v>1858</v>
      </c>
      <c r="H509" t="s">
        <v>1543</v>
      </c>
      <c r="I509" t="str">
        <f>T("0815521662")</f>
        <v>0815521662</v>
      </c>
      <c r="J509" t="str">
        <f>T("0815510951")</f>
        <v>0815510951</v>
      </c>
      <c r="K509" t="s">
        <v>1952</v>
      </c>
    </row>
    <row r="510" spans="1:11">
      <c r="A510">
        <v>6977</v>
      </c>
      <c r="B510" t="s">
        <v>1953</v>
      </c>
      <c r="C510" t="s">
        <v>1954</v>
      </c>
      <c r="D510" t="str">
        <f>T("80147")</f>
        <v>80147</v>
      </c>
      <c r="E510" t="s">
        <v>1914</v>
      </c>
      <c r="F510" t="s">
        <v>1906</v>
      </c>
      <c r="G510" t="s">
        <v>1858</v>
      </c>
      <c r="H510" t="s">
        <v>1543</v>
      </c>
      <c r="I510" t="str">
        <f>T("0815969081")</f>
        <v>0815969081</v>
      </c>
      <c r="J510" t="str">
        <f>T("0815968049")</f>
        <v>0815968049</v>
      </c>
      <c r="K510" t="s">
        <v>1955</v>
      </c>
    </row>
    <row r="511" spans="1:11">
      <c r="A511">
        <v>6978</v>
      </c>
      <c r="B511" t="s">
        <v>1912</v>
      </c>
      <c r="C511" t="s">
        <v>1956</v>
      </c>
      <c r="D511" t="str">
        <f>T("80143")</f>
        <v>80143</v>
      </c>
      <c r="E511" t="s">
        <v>1914</v>
      </c>
      <c r="F511" t="s">
        <v>1906</v>
      </c>
      <c r="G511" t="s">
        <v>1858</v>
      </c>
      <c r="H511" t="s">
        <v>1543</v>
      </c>
      <c r="I511" t="str">
        <f>T("08119565783")</f>
        <v>08119565783</v>
      </c>
      <c r="J511" t="str">
        <f>T("08119565783")</f>
        <v>08119565783</v>
      </c>
      <c r="K511" t="s">
        <v>1957</v>
      </c>
    </row>
    <row r="512" spans="1:11">
      <c r="A512">
        <v>6989</v>
      </c>
      <c r="B512" t="s">
        <v>1958</v>
      </c>
      <c r="C512" t="s">
        <v>1959</v>
      </c>
      <c r="D512" t="str">
        <f>T("80133")</f>
        <v>80133</v>
      </c>
      <c r="E512" t="s">
        <v>1914</v>
      </c>
      <c r="F512" t="s">
        <v>1906</v>
      </c>
      <c r="G512" t="s">
        <v>1858</v>
      </c>
      <c r="H512" t="s">
        <v>1543</v>
      </c>
      <c r="I512" t="str">
        <f>T("0815525680")</f>
        <v>0815525680</v>
      </c>
      <c r="J512" t="str">
        <f>T("0810280177")</f>
        <v>0810280177</v>
      </c>
      <c r="K512" t="s">
        <v>1960</v>
      </c>
    </row>
    <row r="513" spans="1:11">
      <c r="A513">
        <v>6990</v>
      </c>
      <c r="B513" t="s">
        <v>1961</v>
      </c>
      <c r="C513" t="s">
        <v>1962</v>
      </c>
      <c r="D513" t="str">
        <f>T("80038")</f>
        <v>80038</v>
      </c>
      <c r="E513" t="s">
        <v>1963</v>
      </c>
      <c r="F513" t="s">
        <v>1906</v>
      </c>
      <c r="G513" t="s">
        <v>1858</v>
      </c>
      <c r="H513" t="s">
        <v>1543</v>
      </c>
      <c r="I513" t="str">
        <f>T("0818844965")</f>
        <v>0818844965</v>
      </c>
      <c r="J513" t="str">
        <f>T("0818844965")</f>
        <v>0818844965</v>
      </c>
      <c r="K513" t="s">
        <v>1964</v>
      </c>
    </row>
    <row r="514" spans="1:11">
      <c r="A514">
        <v>6991</v>
      </c>
      <c r="B514" t="s">
        <v>1965</v>
      </c>
      <c r="C514" t="s">
        <v>1966</v>
      </c>
      <c r="D514" t="str">
        <f>T("80035")</f>
        <v>80035</v>
      </c>
      <c r="E514" t="s">
        <v>1967</v>
      </c>
      <c r="F514" t="s">
        <v>1906</v>
      </c>
      <c r="G514" t="s">
        <v>1858</v>
      </c>
      <c r="H514" t="s">
        <v>1543</v>
      </c>
      <c r="I514" t="str">
        <f>T("0815123898")</f>
        <v>0815123898</v>
      </c>
      <c r="J514" t="str">
        <f>T("0815123898")</f>
        <v>0815123898</v>
      </c>
      <c r="K514" t="s">
        <v>1968</v>
      </c>
    </row>
    <row r="515" spans="1:11">
      <c r="A515">
        <v>6992</v>
      </c>
      <c r="B515" t="s">
        <v>1969</v>
      </c>
      <c r="C515" t="s">
        <v>1970</v>
      </c>
      <c r="D515" t="str">
        <f>T("80014")</f>
        <v>80014</v>
      </c>
      <c r="E515" t="s">
        <v>1971</v>
      </c>
      <c r="F515" t="s">
        <v>1906</v>
      </c>
      <c r="G515" t="s">
        <v>1858</v>
      </c>
      <c r="H515" t="s">
        <v>1543</v>
      </c>
      <c r="I515" t="str">
        <f>T("0813300929")</f>
        <v>0813300929</v>
      </c>
      <c r="J515" t="str">
        <f>T("0813300929")</f>
        <v>0813300929</v>
      </c>
      <c r="K515" t="s">
        <v>1972</v>
      </c>
    </row>
    <row r="516" spans="1:11">
      <c r="A516">
        <v>6996</v>
      </c>
      <c r="B516" t="s">
        <v>1973</v>
      </c>
      <c r="C516" t="s">
        <v>1974</v>
      </c>
      <c r="D516" t="str">
        <f>T("80047")</f>
        <v>80047</v>
      </c>
      <c r="E516" t="s">
        <v>1975</v>
      </c>
      <c r="F516" t="s">
        <v>1906</v>
      </c>
      <c r="G516" t="s">
        <v>1858</v>
      </c>
      <c r="H516" t="s">
        <v>1543</v>
      </c>
      <c r="I516" t="str">
        <f>T("0815292467")</f>
        <v>0815292467</v>
      </c>
      <c r="J516" t="str">
        <f>T("0815295058")</f>
        <v>0815295058</v>
      </c>
      <c r="K516" t="s">
        <v>1976</v>
      </c>
    </row>
    <row r="517" spans="1:11">
      <c r="A517">
        <v>6998</v>
      </c>
      <c r="B517" t="s">
        <v>1872</v>
      </c>
      <c r="C517" t="s">
        <v>1977</v>
      </c>
      <c r="D517" t="str">
        <f>T("80018")</f>
        <v>80018</v>
      </c>
      <c r="E517" t="s">
        <v>1978</v>
      </c>
      <c r="F517" t="s">
        <v>1906</v>
      </c>
      <c r="G517" t="s">
        <v>1858</v>
      </c>
      <c r="H517" t="s">
        <v>1543</v>
      </c>
      <c r="I517" t="str">
        <f>T("0817122865")</f>
        <v>0817122865</v>
      </c>
      <c r="J517" t="str">
        <f>T("0817132970")</f>
        <v>0817132970</v>
      </c>
      <c r="K517" t="s">
        <v>1875</v>
      </c>
    </row>
    <row r="518" spans="1:11">
      <c r="A518">
        <v>6999</v>
      </c>
      <c r="B518" t="s">
        <v>1979</v>
      </c>
      <c r="C518" t="s">
        <v>1980</v>
      </c>
      <c r="D518" t="str">
        <f>T("80122")</f>
        <v>80122</v>
      </c>
      <c r="E518" t="s">
        <v>1914</v>
      </c>
      <c r="F518" t="s">
        <v>1906</v>
      </c>
      <c r="G518" t="s">
        <v>1858</v>
      </c>
      <c r="H518" t="s">
        <v>1543</v>
      </c>
      <c r="I518" t="str">
        <f>T("08118676387")</f>
        <v>08118676387</v>
      </c>
      <c r="J518" t="str">
        <f>T("08118891051")</f>
        <v>08118891051</v>
      </c>
      <c r="K518" t="s">
        <v>1981</v>
      </c>
    </row>
    <row r="519" spans="1:11">
      <c r="A519">
        <v>7017</v>
      </c>
      <c r="B519" t="s">
        <v>1982</v>
      </c>
      <c r="C519" t="s">
        <v>1983</v>
      </c>
      <c r="D519" t="str">
        <f>T("82100")</f>
        <v>82100</v>
      </c>
      <c r="E519" t="s">
        <v>1984</v>
      </c>
      <c r="F519" t="s">
        <v>1985</v>
      </c>
      <c r="G519" t="s">
        <v>1858</v>
      </c>
      <c r="H519" t="s">
        <v>1543</v>
      </c>
      <c r="I519" t="str">
        <f>T("0824310172")</f>
        <v>0824310172</v>
      </c>
      <c r="J519" t="str">
        <f>T("0824334884")</f>
        <v>0824334884</v>
      </c>
      <c r="K519" t="s">
        <v>1986</v>
      </c>
    </row>
    <row r="520" spans="1:11">
      <c r="A520">
        <v>7018</v>
      </c>
      <c r="B520" t="s">
        <v>1987</v>
      </c>
      <c r="C520" t="s">
        <v>1988</v>
      </c>
      <c r="D520" t="str">
        <f>T("82016")</f>
        <v>82016</v>
      </c>
      <c r="E520" t="s">
        <v>1989</v>
      </c>
      <c r="F520" t="s">
        <v>1985</v>
      </c>
      <c r="G520" t="s">
        <v>1858</v>
      </c>
      <c r="H520" t="s">
        <v>1543</v>
      </c>
      <c r="I520" t="str">
        <f>T("0824835750")</f>
        <v>0824835750</v>
      </c>
      <c r="J520" t="str">
        <f>T("0824835750")</f>
        <v>0824835750</v>
      </c>
      <c r="K520" t="s">
        <v>1990</v>
      </c>
    </row>
    <row r="521" spans="1:11">
      <c r="A521">
        <v>7021</v>
      </c>
      <c r="B521" t="s">
        <v>1991</v>
      </c>
      <c r="C521" t="s">
        <v>1992</v>
      </c>
      <c r="D521" t="str">
        <f>T("82037")</f>
        <v>82037</v>
      </c>
      <c r="E521" t="s">
        <v>1993</v>
      </c>
      <c r="F521" t="s">
        <v>1985</v>
      </c>
      <c r="G521" t="s">
        <v>1858</v>
      </c>
      <c r="H521" t="s">
        <v>1543</v>
      </c>
      <c r="I521" t="str">
        <f>T("0824976643")</f>
        <v>0824976643</v>
      </c>
      <c r="J521" t="str">
        <f>T("0824605105")</f>
        <v>0824605105</v>
      </c>
      <c r="K521" t="s">
        <v>1994</v>
      </c>
    </row>
    <row r="522" spans="1:11">
      <c r="A522">
        <v>7103</v>
      </c>
      <c r="B522" t="s">
        <v>1995</v>
      </c>
      <c r="C522" t="s">
        <v>1996</v>
      </c>
      <c r="D522" t="str">
        <f>T("70022")</f>
        <v>70022</v>
      </c>
      <c r="E522" t="s">
        <v>1997</v>
      </c>
      <c r="F522" t="s">
        <v>1998</v>
      </c>
      <c r="G522" t="s">
        <v>1999</v>
      </c>
      <c r="H522" t="s">
        <v>1543</v>
      </c>
      <c r="I522" t="str">
        <f>T("0803114501")</f>
        <v>0803114501</v>
      </c>
      <c r="J522" t="str">
        <f>T("0803114501")</f>
        <v>0803114501</v>
      </c>
      <c r="K522" t="s">
        <v>2000</v>
      </c>
    </row>
    <row r="523" spans="1:11">
      <c r="A523">
        <v>7130</v>
      </c>
      <c r="B523" t="s">
        <v>2001</v>
      </c>
      <c r="C523" t="s">
        <v>2002</v>
      </c>
      <c r="D523" t="str">
        <f>T("70024")</f>
        <v>70024</v>
      </c>
      <c r="E523" t="s">
        <v>2003</v>
      </c>
      <c r="F523" t="s">
        <v>1998</v>
      </c>
      <c r="G523" t="s">
        <v>1999</v>
      </c>
      <c r="H523" t="s">
        <v>1543</v>
      </c>
      <c r="I523" t="str">
        <f>T("0803265447")</f>
        <v>0803265447</v>
      </c>
      <c r="J523" t="str">
        <f>T("0803265447")</f>
        <v>0803265447</v>
      </c>
      <c r="K523" t="s">
        <v>2004</v>
      </c>
    </row>
    <row r="524" spans="1:11">
      <c r="A524">
        <v>7134</v>
      </c>
      <c r="B524" t="s">
        <v>2005</v>
      </c>
      <c r="C524" t="s">
        <v>2006</v>
      </c>
      <c r="D524" t="str">
        <f>T("70032")</f>
        <v>70032</v>
      </c>
      <c r="E524" t="s">
        <v>2007</v>
      </c>
      <c r="F524" t="s">
        <v>1998</v>
      </c>
      <c r="G524" t="s">
        <v>1999</v>
      </c>
      <c r="H524" t="s">
        <v>1543</v>
      </c>
      <c r="I524" t="str">
        <f>T("0803741939")</f>
        <v>0803741939</v>
      </c>
      <c r="J524" t="str">
        <f>T("0802375923")</f>
        <v>0802375923</v>
      </c>
      <c r="K524" t="s">
        <v>2008</v>
      </c>
    </row>
    <row r="525" spans="1:11">
      <c r="A525">
        <v>7143</v>
      </c>
      <c r="B525" t="s">
        <v>2009</v>
      </c>
      <c r="C525" t="s">
        <v>2010</v>
      </c>
      <c r="D525" t="str">
        <f>T("70017")</f>
        <v>70017</v>
      </c>
      <c r="E525" t="s">
        <v>2011</v>
      </c>
      <c r="F525" t="s">
        <v>1998</v>
      </c>
      <c r="G525" t="s">
        <v>1999</v>
      </c>
      <c r="H525" t="s">
        <v>1543</v>
      </c>
      <c r="I525" t="str">
        <f>T("0804911378")</f>
        <v>0804911378</v>
      </c>
      <c r="J525" t="str">
        <f>T("0804911378")</f>
        <v>0804911378</v>
      </c>
      <c r="K525" t="s">
        <v>2012</v>
      </c>
    </row>
    <row r="526" spans="1:11">
      <c r="A526">
        <v>7144</v>
      </c>
      <c r="B526" t="s">
        <v>2013</v>
      </c>
      <c r="C526" t="s">
        <v>2014</v>
      </c>
      <c r="D526" t="str">
        <f>T("76123")</f>
        <v>76123</v>
      </c>
      <c r="E526" t="s">
        <v>2015</v>
      </c>
      <c r="F526" t="s">
        <v>2016</v>
      </c>
      <c r="G526" t="s">
        <v>1999</v>
      </c>
      <c r="H526" t="s">
        <v>1543</v>
      </c>
      <c r="I526" t="str">
        <f>T("0883592073")</f>
        <v>0883592073</v>
      </c>
      <c r="J526" t="str">
        <f>T("0883592074")</f>
        <v>0883592074</v>
      </c>
      <c r="K526" t="s">
        <v>2017</v>
      </c>
    </row>
    <row r="527" spans="1:11">
      <c r="A527">
        <v>7152</v>
      </c>
      <c r="B527" t="s">
        <v>2018</v>
      </c>
      <c r="C527" t="s">
        <v>2019</v>
      </c>
      <c r="D527" t="str">
        <f>T("70059")</f>
        <v>70059</v>
      </c>
      <c r="E527" t="s">
        <v>2020</v>
      </c>
      <c r="F527" t="s">
        <v>2016</v>
      </c>
      <c r="G527" t="s">
        <v>1999</v>
      </c>
      <c r="H527" t="s">
        <v>1543</v>
      </c>
      <c r="I527" t="str">
        <f>T("0883501432")</f>
        <v>0883501432</v>
      </c>
      <c r="J527" t="str">
        <f>T("0883501432")</f>
        <v>0883501432</v>
      </c>
      <c r="K527" t="s">
        <v>2021</v>
      </c>
    </row>
    <row r="528" spans="1:11">
      <c r="A528">
        <v>7161</v>
      </c>
      <c r="B528" t="s">
        <v>2022</v>
      </c>
      <c r="C528" t="s">
        <v>2023</v>
      </c>
      <c r="D528" t="str">
        <f>T("70051")</f>
        <v>70051</v>
      </c>
      <c r="E528" t="s">
        <v>2024</v>
      </c>
      <c r="F528" t="s">
        <v>2016</v>
      </c>
      <c r="G528" t="s">
        <v>1999</v>
      </c>
      <c r="H528" t="s">
        <v>1543</v>
      </c>
      <c r="I528" t="str">
        <f>T("0883535003")</f>
        <v>0883535003</v>
      </c>
      <c r="J528" t="str">
        <f>T("0883535003")</f>
        <v>0883535003</v>
      </c>
      <c r="K528" t="s">
        <v>2025</v>
      </c>
    </row>
    <row r="529" spans="1:11">
      <c r="A529">
        <v>7163</v>
      </c>
      <c r="B529" t="s">
        <v>2026</v>
      </c>
      <c r="C529" t="s">
        <v>2027</v>
      </c>
      <c r="D529" t="str">
        <f>T("70029")</f>
        <v>70029</v>
      </c>
      <c r="E529" t="s">
        <v>2028</v>
      </c>
      <c r="F529" t="s">
        <v>1998</v>
      </c>
      <c r="G529" t="s">
        <v>1999</v>
      </c>
      <c r="H529" t="s">
        <v>1543</v>
      </c>
      <c r="I529" t="str">
        <f>T("0803022888")</f>
        <v>0803022888</v>
      </c>
      <c r="J529" t="str">
        <f>T("0803030196")</f>
        <v>0803030196</v>
      </c>
      <c r="K529" t="s">
        <v>2029</v>
      </c>
    </row>
    <row r="530" spans="1:11">
      <c r="A530">
        <v>7217</v>
      </c>
      <c r="B530" t="s">
        <v>2030</v>
      </c>
      <c r="C530" t="s">
        <v>2031</v>
      </c>
      <c r="D530" t="str">
        <f>T("72015")</f>
        <v>72015</v>
      </c>
      <c r="E530" t="s">
        <v>2032</v>
      </c>
      <c r="F530" t="s">
        <v>2033</v>
      </c>
      <c r="G530" t="s">
        <v>1999</v>
      </c>
      <c r="H530" t="s">
        <v>1543</v>
      </c>
      <c r="I530" t="str">
        <f>T("0804421060")</f>
        <v>0804421060</v>
      </c>
      <c r="J530" t="str">
        <f>T("0804421060")</f>
        <v>0804421060</v>
      </c>
      <c r="K530" t="s">
        <v>2034</v>
      </c>
    </row>
    <row r="531" spans="1:11">
      <c r="A531">
        <v>7221</v>
      </c>
      <c r="B531" t="s">
        <v>2035</v>
      </c>
      <c r="C531" t="s">
        <v>2036</v>
      </c>
      <c r="D531" t="str">
        <f>T("72100")</f>
        <v>72100</v>
      </c>
      <c r="E531" t="s">
        <v>2037</v>
      </c>
      <c r="F531" t="s">
        <v>2033</v>
      </c>
      <c r="G531" t="s">
        <v>1999</v>
      </c>
      <c r="H531" t="s">
        <v>1543</v>
      </c>
      <c r="I531" t="str">
        <f>T("0831562668")</f>
        <v>0831562668</v>
      </c>
      <c r="J531" t="str">
        <f>T("0831522776")</f>
        <v>0831522776</v>
      </c>
      <c r="K531" t="s">
        <v>2038</v>
      </c>
    </row>
    <row r="532" spans="1:11">
      <c r="A532">
        <v>7224</v>
      </c>
      <c r="B532" t="s">
        <v>2039</v>
      </c>
      <c r="C532" t="s">
        <v>2040</v>
      </c>
      <c r="D532" t="str">
        <f>T("72023")</f>
        <v>72023</v>
      </c>
      <c r="E532" t="s">
        <v>2041</v>
      </c>
      <c r="F532" t="s">
        <v>2033</v>
      </c>
      <c r="G532" t="s">
        <v>1999</v>
      </c>
      <c r="H532" t="s">
        <v>1543</v>
      </c>
      <c r="I532" t="str">
        <f>T("0831733242")</f>
        <v>0831733242</v>
      </c>
      <c r="J532" t="str">
        <f>T("0831733242")</f>
        <v>0831733242</v>
      </c>
      <c r="K532" t="s">
        <v>2042</v>
      </c>
    </row>
    <row r="533" spans="1:11">
      <c r="A533">
        <v>7321</v>
      </c>
      <c r="B533" t="s">
        <v>2043</v>
      </c>
      <c r="C533" t="s">
        <v>2044</v>
      </c>
      <c r="D533" t="str">
        <f>T("71013")</f>
        <v>71013</v>
      </c>
      <c r="E533" t="s">
        <v>2045</v>
      </c>
      <c r="F533" t="s">
        <v>2046</v>
      </c>
      <c r="G533" t="s">
        <v>1999</v>
      </c>
      <c r="H533" t="s">
        <v>1543</v>
      </c>
      <c r="I533" t="str">
        <f>T("0882452146")</f>
        <v>0882452146</v>
      </c>
      <c r="J533" t="str">
        <f>T("0882455070")</f>
        <v>0882455070</v>
      </c>
      <c r="K533" t="s">
        <v>2047</v>
      </c>
    </row>
    <row r="534" spans="1:11">
      <c r="A534">
        <v>7325</v>
      </c>
      <c r="B534" t="s">
        <v>2048</v>
      </c>
      <c r="C534" t="s">
        <v>2049</v>
      </c>
      <c r="D534" t="str">
        <f>T("71122")</f>
        <v>71122</v>
      </c>
      <c r="E534" t="s">
        <v>2050</v>
      </c>
      <c r="F534" t="s">
        <v>2046</v>
      </c>
      <c r="G534" t="s">
        <v>1999</v>
      </c>
      <c r="H534" t="s">
        <v>1543</v>
      </c>
      <c r="I534" t="str">
        <f>T("0881714897")</f>
        <v>0881714897</v>
      </c>
      <c r="J534" t="str">
        <f>T("08811880455")</f>
        <v>08811880455</v>
      </c>
      <c r="K534" t="s">
        <v>2051</v>
      </c>
    </row>
    <row r="535" spans="1:11">
      <c r="A535">
        <v>7335</v>
      </c>
      <c r="B535" t="s">
        <v>2052</v>
      </c>
      <c r="C535" t="s">
        <v>2053</v>
      </c>
      <c r="D535" t="str">
        <f>T("71016")</f>
        <v>71016</v>
      </c>
      <c r="E535" t="s">
        <v>2054</v>
      </c>
      <c r="F535" t="s">
        <v>2046</v>
      </c>
      <c r="G535" t="s">
        <v>1999</v>
      </c>
      <c r="H535" t="s">
        <v>1543</v>
      </c>
      <c r="I535" t="str">
        <f>T("0882248019")</f>
        <v>0882248019</v>
      </c>
      <c r="J535" t="str">
        <f>T("0882243370")</f>
        <v>0882243370</v>
      </c>
      <c r="K535" t="s">
        <v>2055</v>
      </c>
    </row>
    <row r="536" spans="1:11">
      <c r="A536">
        <v>7405</v>
      </c>
      <c r="B536" t="s">
        <v>2056</v>
      </c>
      <c r="C536" t="s">
        <v>2057</v>
      </c>
      <c r="D536" t="str">
        <f>T("73042")</f>
        <v>73042</v>
      </c>
      <c r="E536" t="s">
        <v>2058</v>
      </c>
      <c r="F536" t="s">
        <v>2059</v>
      </c>
      <c r="G536" t="s">
        <v>1999</v>
      </c>
      <c r="H536" t="s">
        <v>1543</v>
      </c>
      <c r="I536" t="str">
        <f>T("0833512060")</f>
        <v>0833512060</v>
      </c>
      <c r="J536" t="str">
        <f>T("08331850301")</f>
        <v>08331850301</v>
      </c>
      <c r="K536" t="s">
        <v>2060</v>
      </c>
    </row>
    <row r="537" spans="1:11">
      <c r="A537">
        <v>7413</v>
      </c>
      <c r="B537" t="s">
        <v>2061</v>
      </c>
      <c r="C537" t="s">
        <v>2062</v>
      </c>
      <c r="D537" t="str">
        <f>T("73024")</f>
        <v>73024</v>
      </c>
      <c r="E537" t="s">
        <v>2063</v>
      </c>
      <c r="F537" t="s">
        <v>2059</v>
      </c>
      <c r="G537" t="s">
        <v>1999</v>
      </c>
      <c r="H537" t="s">
        <v>1543</v>
      </c>
      <c r="I537" t="str">
        <f>T("0836484818")</f>
        <v>0836484818</v>
      </c>
      <c r="J537" t="str">
        <f>T("0836484819")</f>
        <v>0836484819</v>
      </c>
      <c r="K537" t="s">
        <v>2064</v>
      </c>
    </row>
    <row r="538" spans="1:11">
      <c r="A538">
        <v>7423</v>
      </c>
      <c r="B538" t="s">
        <v>2065</v>
      </c>
      <c r="C538" t="s">
        <v>2066</v>
      </c>
      <c r="D538" t="str">
        <f>T("73043")</f>
        <v>73043</v>
      </c>
      <c r="E538" t="s">
        <v>2067</v>
      </c>
      <c r="F538" t="s">
        <v>2059</v>
      </c>
      <c r="G538" t="s">
        <v>1999</v>
      </c>
      <c r="H538" t="s">
        <v>1543</v>
      </c>
      <c r="I538" t="str">
        <f>T("0832931210")</f>
        <v>0832931210</v>
      </c>
      <c r="J538" t="str">
        <f>T("0832931210")</f>
        <v>0832931210</v>
      </c>
      <c r="K538" t="s">
        <v>2068</v>
      </c>
    </row>
    <row r="539" spans="1:11">
      <c r="A539">
        <v>7433</v>
      </c>
      <c r="B539" t="s">
        <v>2069</v>
      </c>
      <c r="C539" t="s">
        <v>2070</v>
      </c>
      <c r="D539" t="str">
        <f>T("73100")</f>
        <v>73100</v>
      </c>
      <c r="E539" t="s">
        <v>2071</v>
      </c>
      <c r="F539" t="s">
        <v>2059</v>
      </c>
      <c r="G539" t="s">
        <v>1999</v>
      </c>
      <c r="H539" t="s">
        <v>1543</v>
      </c>
      <c r="I539" t="str">
        <f>T("0832246681")</f>
        <v>0832246681</v>
      </c>
      <c r="J539" t="str">
        <f>T("0832252736")</f>
        <v>0832252736</v>
      </c>
      <c r="K539" t="s">
        <v>2072</v>
      </c>
    </row>
    <row r="540" spans="1:11">
      <c r="A540">
        <v>7521</v>
      </c>
      <c r="B540" t="s">
        <v>2073</v>
      </c>
      <c r="C540" t="s">
        <v>2074</v>
      </c>
      <c r="D540" t="str">
        <f>T("74121")</f>
        <v>74121</v>
      </c>
      <c r="E540" t="s">
        <v>2075</v>
      </c>
      <c r="F540" t="s">
        <v>2076</v>
      </c>
      <c r="G540" t="s">
        <v>1999</v>
      </c>
      <c r="H540" t="s">
        <v>1543</v>
      </c>
      <c r="I540" t="str">
        <f>T("0997369790")</f>
        <v>0997369790</v>
      </c>
      <c r="J540" t="str">
        <f>T("0997369790")</f>
        <v>0997369790</v>
      </c>
      <c r="K540" t="s">
        <v>2077</v>
      </c>
    </row>
    <row r="541" spans="1:11">
      <c r="A541">
        <v>7522</v>
      </c>
      <c r="B541" t="s">
        <v>2073</v>
      </c>
      <c r="C541" t="s">
        <v>2078</v>
      </c>
      <c r="D541" t="str">
        <f>T("74123")</f>
        <v>74123</v>
      </c>
      <c r="E541" t="s">
        <v>2075</v>
      </c>
      <c r="F541" t="s">
        <v>2076</v>
      </c>
      <c r="G541" t="s">
        <v>1999</v>
      </c>
      <c r="H541" t="s">
        <v>1543</v>
      </c>
      <c r="I541" t="str">
        <f>T("0994525800")</f>
        <v>0994525800</v>
      </c>
      <c r="J541" t="str">
        <f>T("0994525800")</f>
        <v>0994525800</v>
      </c>
      <c r="K541" t="s">
        <v>2077</v>
      </c>
    </row>
    <row r="542" spans="1:11">
      <c r="A542">
        <v>7526</v>
      </c>
      <c r="B542" t="s">
        <v>2079</v>
      </c>
      <c r="C542" t="s">
        <v>2080</v>
      </c>
      <c r="D542" t="str">
        <f>T("74024")</f>
        <v>74024</v>
      </c>
      <c r="E542" t="s">
        <v>2081</v>
      </c>
      <c r="F542" t="s">
        <v>2076</v>
      </c>
      <c r="G542" t="s">
        <v>1999</v>
      </c>
      <c r="H542" t="s">
        <v>1543</v>
      </c>
      <c r="I542" t="str">
        <f>T("0999711333")</f>
        <v>0999711333</v>
      </c>
      <c r="J542" t="str">
        <f>T("0999711333")</f>
        <v>0999711333</v>
      </c>
      <c r="K542" t="s">
        <v>2082</v>
      </c>
    </row>
    <row r="543" spans="1:11">
      <c r="A543">
        <v>7601</v>
      </c>
      <c r="B543" t="s">
        <v>2083</v>
      </c>
      <c r="C543" t="s">
        <v>2084</v>
      </c>
      <c r="D543" t="str">
        <f>T("80020")</f>
        <v>80020</v>
      </c>
      <c r="E543" t="s">
        <v>2085</v>
      </c>
      <c r="F543" t="s">
        <v>1906</v>
      </c>
      <c r="G543" t="s">
        <v>1858</v>
      </c>
      <c r="H543" t="s">
        <v>1543</v>
      </c>
      <c r="I543" t="str">
        <f>T("0815734021")</f>
        <v>0815734021</v>
      </c>
      <c r="J543" t="str">
        <f>T("0815734021")</f>
        <v>0815734021</v>
      </c>
      <c r="K543" t="s">
        <v>2086</v>
      </c>
    </row>
    <row r="544" spans="1:11">
      <c r="A544">
        <v>7602</v>
      </c>
      <c r="B544" t="s">
        <v>1872</v>
      </c>
      <c r="C544" t="s">
        <v>2087</v>
      </c>
      <c r="D544" t="str">
        <f>T("80055")</f>
        <v>80055</v>
      </c>
      <c r="E544" t="s">
        <v>2088</v>
      </c>
      <c r="F544" t="s">
        <v>1906</v>
      </c>
      <c r="G544" t="s">
        <v>1858</v>
      </c>
      <c r="H544" t="s">
        <v>1543</v>
      </c>
      <c r="I544" t="str">
        <f>T("0817122865")</f>
        <v>0817122865</v>
      </c>
      <c r="J544" t="str">
        <f>T("0817132970")</f>
        <v>0817132970</v>
      </c>
      <c r="K544" t="s">
        <v>1875</v>
      </c>
    </row>
    <row r="545" spans="1:11">
      <c r="A545">
        <v>7721</v>
      </c>
      <c r="B545" t="s">
        <v>2089</v>
      </c>
      <c r="C545" t="s">
        <v>2090</v>
      </c>
      <c r="D545" t="str">
        <f>T("85029")</f>
        <v>85029</v>
      </c>
      <c r="E545" t="s">
        <v>2091</v>
      </c>
      <c r="F545" t="s">
        <v>2092</v>
      </c>
      <c r="G545" t="s">
        <v>2093</v>
      </c>
      <c r="H545" t="s">
        <v>1543</v>
      </c>
      <c r="I545" t="str">
        <f>T("097235780")</f>
        <v>097235780</v>
      </c>
      <c r="J545" t="str">
        <f>T("097237847")</f>
        <v>097237847</v>
      </c>
      <c r="K545" t="s">
        <v>2094</v>
      </c>
    </row>
    <row r="546" spans="1:11">
      <c r="A546">
        <v>7723</v>
      </c>
      <c r="B546" t="s">
        <v>2095</v>
      </c>
      <c r="C546" t="s">
        <v>2096</v>
      </c>
      <c r="D546" t="str">
        <f>T("85050")</f>
        <v>85050</v>
      </c>
      <c r="E546" t="s">
        <v>2097</v>
      </c>
      <c r="F546" t="s">
        <v>2092</v>
      </c>
      <c r="G546" t="s">
        <v>2093</v>
      </c>
      <c r="H546" t="s">
        <v>1543</v>
      </c>
      <c r="I546" t="str">
        <f>T("0975352359")</f>
        <v>0975352359</v>
      </c>
      <c r="J546" t="str">
        <f>T("0975352359")</f>
        <v>0975352359</v>
      </c>
      <c r="K546" t="s">
        <v>2098</v>
      </c>
    </row>
    <row r="547" spans="1:11">
      <c r="A547">
        <v>7826</v>
      </c>
      <c r="B547" t="s">
        <v>2099</v>
      </c>
      <c r="C547" t="s">
        <v>2100</v>
      </c>
      <c r="D547" t="str">
        <f>T("88046")</f>
        <v>88046</v>
      </c>
      <c r="E547" t="s">
        <v>2101</v>
      </c>
      <c r="F547" t="s">
        <v>2102</v>
      </c>
      <c r="G547" t="s">
        <v>2103</v>
      </c>
      <c r="H547" t="s">
        <v>1543</v>
      </c>
      <c r="I547" t="str">
        <f>T("0968442323")</f>
        <v>0968442323</v>
      </c>
      <c r="J547" t="str">
        <f>T("0968442323")</f>
        <v>0968442323</v>
      </c>
      <c r="K547" t="s">
        <v>2104</v>
      </c>
    </row>
    <row r="548" spans="1:11">
      <c r="A548">
        <v>7830</v>
      </c>
      <c r="B548" t="s">
        <v>2105</v>
      </c>
      <c r="C548" t="s">
        <v>2106</v>
      </c>
      <c r="D548" t="str">
        <f>T("89900")</f>
        <v>89900</v>
      </c>
      <c r="E548" t="s">
        <v>2107</v>
      </c>
      <c r="F548" t="s">
        <v>2108</v>
      </c>
      <c r="G548" t="s">
        <v>2103</v>
      </c>
      <c r="H548" t="s">
        <v>1543</v>
      </c>
      <c r="I548" t="str">
        <f>T("0963592490")</f>
        <v>0963592490</v>
      </c>
      <c r="J548" t="str">
        <f>T("0963592490")</f>
        <v>0963592490</v>
      </c>
      <c r="K548" t="s">
        <v>2109</v>
      </c>
    </row>
    <row r="549" spans="1:11">
      <c r="A549">
        <v>7921</v>
      </c>
      <c r="B549" t="s">
        <v>2110</v>
      </c>
      <c r="C549" t="s">
        <v>2111</v>
      </c>
      <c r="D549" t="str">
        <f>T("87012")</f>
        <v>87012</v>
      </c>
      <c r="E549" t="s">
        <v>2112</v>
      </c>
      <c r="F549" t="s">
        <v>2113</v>
      </c>
      <c r="G549" t="s">
        <v>2103</v>
      </c>
      <c r="H549" t="s">
        <v>1543</v>
      </c>
      <c r="I549" t="str">
        <f>T("0981489037")</f>
        <v>0981489037</v>
      </c>
      <c r="J549" t="str">
        <f>T("0981489037")</f>
        <v>0981489037</v>
      </c>
      <c r="K549" t="s">
        <v>2114</v>
      </c>
    </row>
    <row r="550" spans="1:11">
      <c r="A550">
        <v>7928</v>
      </c>
      <c r="B550" t="s">
        <v>2115</v>
      </c>
      <c r="C550" t="s">
        <v>2116</v>
      </c>
      <c r="D550" t="str">
        <f>T("87100")</f>
        <v>87100</v>
      </c>
      <c r="E550" t="s">
        <v>2117</v>
      </c>
      <c r="F550" t="s">
        <v>2113</v>
      </c>
      <c r="G550" t="s">
        <v>2103</v>
      </c>
      <c r="H550" t="s">
        <v>1543</v>
      </c>
      <c r="I550" t="str">
        <f>T("098423219")</f>
        <v>098423219</v>
      </c>
      <c r="J550" t="str">
        <f>T("098423219")</f>
        <v>098423219</v>
      </c>
      <c r="K550" t="s">
        <v>2118</v>
      </c>
    </row>
    <row r="551" spans="1:11">
      <c r="A551">
        <v>8002</v>
      </c>
      <c r="B551" t="s">
        <v>2119</v>
      </c>
      <c r="C551" t="s">
        <v>2120</v>
      </c>
      <c r="D551" t="str">
        <f>T("89048")</f>
        <v>89048</v>
      </c>
      <c r="E551" t="s">
        <v>2121</v>
      </c>
      <c r="F551" t="s">
        <v>2122</v>
      </c>
      <c r="G551" t="s">
        <v>2103</v>
      </c>
      <c r="H551" t="s">
        <v>1543</v>
      </c>
      <c r="I551" t="str">
        <f>T("0964388707")</f>
        <v>0964388707</v>
      </c>
      <c r="J551" t="str">
        <f>T("0964500035")</f>
        <v>0964500035</v>
      </c>
      <c r="K551" t="s">
        <v>2123</v>
      </c>
    </row>
    <row r="552" spans="1:11">
      <c r="A552">
        <v>8027</v>
      </c>
      <c r="B552" t="s">
        <v>2124</v>
      </c>
      <c r="C552" t="s">
        <v>2125</v>
      </c>
      <c r="D552" t="str">
        <f>T("89124")</f>
        <v>89124</v>
      </c>
      <c r="E552" t="s">
        <v>2126</v>
      </c>
      <c r="F552" t="s">
        <v>2122</v>
      </c>
      <c r="G552" t="s">
        <v>2103</v>
      </c>
      <c r="H552" t="s">
        <v>1543</v>
      </c>
      <c r="I552" t="str">
        <f>T("0965814000")</f>
        <v>0965814000</v>
      </c>
      <c r="J552" t="str">
        <f>T("0965814000")</f>
        <v>0965814000</v>
      </c>
      <c r="K552" t="s">
        <v>2127</v>
      </c>
    </row>
    <row r="553" spans="1:11">
      <c r="A553">
        <v>8028</v>
      </c>
      <c r="B553" t="s">
        <v>2128</v>
      </c>
      <c r="C553" t="s">
        <v>2129</v>
      </c>
      <c r="D553" t="str">
        <f>T("89063")</f>
        <v>89063</v>
      </c>
      <c r="E553" t="s">
        <v>2130</v>
      </c>
      <c r="F553" t="s">
        <v>2122</v>
      </c>
      <c r="G553" t="s">
        <v>2103</v>
      </c>
      <c r="H553" t="s">
        <v>1543</v>
      </c>
      <c r="I553" t="str">
        <f>T("0965771766")</f>
        <v>0965771766</v>
      </c>
      <c r="J553" t="str">
        <f>T("0965771766")</f>
        <v>0965771766</v>
      </c>
      <c r="K553" t="s">
        <v>2131</v>
      </c>
    </row>
    <row r="554" spans="1:11">
      <c r="A554">
        <v>8115</v>
      </c>
      <c r="B554" t="s">
        <v>2132</v>
      </c>
      <c r="C554" t="s">
        <v>2133</v>
      </c>
      <c r="D554" t="str">
        <f>T("75100")</f>
        <v>75100</v>
      </c>
      <c r="E554" t="s">
        <v>2134</v>
      </c>
      <c r="F554" t="s">
        <v>2135</v>
      </c>
      <c r="G554" t="s">
        <v>2093</v>
      </c>
      <c r="H554" t="s">
        <v>1543</v>
      </c>
      <c r="I554" t="str">
        <f>T("0835334272")</f>
        <v>0835334272</v>
      </c>
      <c r="J554" t="str">
        <f>T("0835346656")</f>
        <v>0835346656</v>
      </c>
      <c r="K554" t="s">
        <v>2136</v>
      </c>
    </row>
    <row r="555" spans="1:11">
      <c r="A555">
        <v>8217</v>
      </c>
      <c r="B555" t="s">
        <v>353</v>
      </c>
      <c r="C555" t="s">
        <v>2137</v>
      </c>
      <c r="D555" t="str">
        <f>T("93100")</f>
        <v>93100</v>
      </c>
      <c r="E555" t="s">
        <v>2138</v>
      </c>
      <c r="F555" t="s">
        <v>2139</v>
      </c>
      <c r="G555" t="s">
        <v>2140</v>
      </c>
      <c r="H555" t="s">
        <v>1543</v>
      </c>
      <c r="I555" t="str">
        <f>T("0934554533")</f>
        <v>0934554533</v>
      </c>
      <c r="J555" t="str">
        <f>T("0934554534")</f>
        <v>0934554534</v>
      </c>
      <c r="K555" t="s">
        <v>2141</v>
      </c>
    </row>
    <row r="556" spans="1:11">
      <c r="A556">
        <v>8326</v>
      </c>
      <c r="B556" t="s">
        <v>2142</v>
      </c>
      <c r="C556" t="s">
        <v>2143</v>
      </c>
      <c r="D556" t="str">
        <f>T("90135")</f>
        <v>90135</v>
      </c>
      <c r="E556" t="s">
        <v>2144</v>
      </c>
      <c r="F556" t="s">
        <v>2145</v>
      </c>
      <c r="G556" t="s">
        <v>2140</v>
      </c>
      <c r="H556" t="s">
        <v>1543</v>
      </c>
      <c r="I556" t="str">
        <f>T("091488280")</f>
        <v>091488280</v>
      </c>
      <c r="J556" t="str">
        <f>T("091487399")</f>
        <v>091487399</v>
      </c>
      <c r="K556" t="s">
        <v>2146</v>
      </c>
    </row>
    <row r="557" spans="1:11">
      <c r="A557">
        <v>8330</v>
      </c>
      <c r="B557" t="s">
        <v>2147</v>
      </c>
      <c r="C557" t="s">
        <v>2148</v>
      </c>
      <c r="D557" t="str">
        <f>T("90141")</f>
        <v>90141</v>
      </c>
      <c r="E557" t="s">
        <v>2144</v>
      </c>
      <c r="F557" t="s">
        <v>2145</v>
      </c>
      <c r="G557" t="s">
        <v>2103</v>
      </c>
      <c r="H557" t="s">
        <v>1543</v>
      </c>
      <c r="I557" t="str">
        <f>T("09162522550")</f>
        <v>09162522550</v>
      </c>
      <c r="J557" t="str">
        <f>T("091340892")</f>
        <v>091340892</v>
      </c>
      <c r="K557" t="s">
        <v>2149</v>
      </c>
    </row>
    <row r="558" spans="1:11">
      <c r="A558">
        <v>8331</v>
      </c>
      <c r="B558" t="s">
        <v>2150</v>
      </c>
      <c r="C558" t="s">
        <v>2151</v>
      </c>
      <c r="D558" t="str">
        <f>T("90015")</f>
        <v>90015</v>
      </c>
      <c r="E558" t="s">
        <v>2152</v>
      </c>
      <c r="F558" t="s">
        <v>2145</v>
      </c>
      <c r="G558" t="s">
        <v>2140</v>
      </c>
      <c r="H558" t="s">
        <v>1543</v>
      </c>
      <c r="I558" t="str">
        <f>T("0921423626")</f>
        <v>0921423626</v>
      </c>
      <c r="J558" t="str">
        <f>T("0921423626")</f>
        <v>0921423626</v>
      </c>
      <c r="K558" t="s">
        <v>2153</v>
      </c>
    </row>
    <row r="559" spans="1:11">
      <c r="A559">
        <v>8333</v>
      </c>
      <c r="B559" t="s">
        <v>2154</v>
      </c>
      <c r="C559" t="s">
        <v>2155</v>
      </c>
      <c r="D559" t="str">
        <f>T("90144")</f>
        <v>90144</v>
      </c>
      <c r="E559" t="s">
        <v>2144</v>
      </c>
      <c r="F559" t="s">
        <v>2145</v>
      </c>
      <c r="G559" t="s">
        <v>2140</v>
      </c>
      <c r="H559" t="s">
        <v>1543</v>
      </c>
      <c r="I559" t="str">
        <f>T("0912523302")</f>
        <v>0912523302</v>
      </c>
      <c r="J559" t="str">
        <f>T("0912523302")</f>
        <v>0912523302</v>
      </c>
      <c r="K559" t="s">
        <v>2156</v>
      </c>
    </row>
    <row r="560" spans="1:11">
      <c r="A560">
        <v>8334</v>
      </c>
      <c r="B560" t="s">
        <v>2157</v>
      </c>
      <c r="C560" t="s">
        <v>2158</v>
      </c>
      <c r="D560" t="str">
        <f>T("90011")</f>
        <v>90011</v>
      </c>
      <c r="E560" t="s">
        <v>2159</v>
      </c>
      <c r="F560" t="s">
        <v>2145</v>
      </c>
      <c r="G560" t="s">
        <v>2103</v>
      </c>
      <c r="H560" t="s">
        <v>1543</v>
      </c>
      <c r="I560" t="str">
        <f>T("091969764")</f>
        <v>091969764</v>
      </c>
      <c r="J560" t="str">
        <f>T("091969764")</f>
        <v>091969764</v>
      </c>
      <c r="K560" t="s">
        <v>2160</v>
      </c>
    </row>
    <row r="561" spans="1:11">
      <c r="A561">
        <v>8335</v>
      </c>
      <c r="B561" t="s">
        <v>2161</v>
      </c>
      <c r="C561" t="s">
        <v>2162</v>
      </c>
      <c r="D561" t="str">
        <f>T("90044")</f>
        <v>90044</v>
      </c>
      <c r="E561" t="s">
        <v>2163</v>
      </c>
      <c r="F561" t="s">
        <v>2145</v>
      </c>
      <c r="G561" t="s">
        <v>2140</v>
      </c>
      <c r="H561" t="s">
        <v>1543</v>
      </c>
      <c r="I561" t="str">
        <f>T("0918486138")</f>
        <v>0918486138</v>
      </c>
      <c r="J561" t="str">
        <f>T("0918486140")</f>
        <v>0918486140</v>
      </c>
      <c r="K561" t="s">
        <v>2164</v>
      </c>
    </row>
    <row r="562" spans="1:11">
      <c r="A562">
        <v>8417</v>
      </c>
      <c r="B562" t="s">
        <v>2165</v>
      </c>
      <c r="C562" t="s">
        <v>2166</v>
      </c>
      <c r="D562" t="str">
        <f>T("96011")</f>
        <v>96011</v>
      </c>
      <c r="E562" t="s">
        <v>2167</v>
      </c>
      <c r="F562" t="s">
        <v>2168</v>
      </c>
      <c r="G562" t="s">
        <v>2140</v>
      </c>
      <c r="H562" t="s">
        <v>1543</v>
      </c>
      <c r="I562" t="str">
        <f>T("0931993000")</f>
        <v>0931993000</v>
      </c>
      <c r="J562" t="str">
        <f>T("0931993905")</f>
        <v>0931993905</v>
      </c>
      <c r="K562" t="s">
        <v>2169</v>
      </c>
    </row>
    <row r="563" spans="1:11">
      <c r="A563">
        <v>8421</v>
      </c>
      <c r="B563" t="s">
        <v>2170</v>
      </c>
      <c r="C563" t="s">
        <v>2171</v>
      </c>
      <c r="D563" t="str">
        <f>T("96018")</f>
        <v>96018</v>
      </c>
      <c r="E563" t="s">
        <v>2172</v>
      </c>
      <c r="F563" t="s">
        <v>2168</v>
      </c>
      <c r="G563" t="s">
        <v>2140</v>
      </c>
      <c r="H563" t="s">
        <v>1543</v>
      </c>
      <c r="I563" t="str">
        <f>T("0931594332")</f>
        <v>0931594332</v>
      </c>
      <c r="J563" t="str">
        <f>T("0931594332")</f>
        <v>0931594332</v>
      </c>
      <c r="K563" t="s">
        <v>2173</v>
      </c>
    </row>
    <row r="564" spans="1:11">
      <c r="A564">
        <v>8424</v>
      </c>
      <c r="B564" t="s">
        <v>2174</v>
      </c>
      <c r="C564" t="s">
        <v>2175</v>
      </c>
      <c r="D564" t="str">
        <f>T("96100")</f>
        <v>96100</v>
      </c>
      <c r="E564" t="s">
        <v>2176</v>
      </c>
      <c r="F564" t="s">
        <v>2168</v>
      </c>
      <c r="G564" t="s">
        <v>2140</v>
      </c>
      <c r="H564" t="s">
        <v>1543</v>
      </c>
      <c r="I564" t="str">
        <f>T("0931789111")</f>
        <v>0931789111</v>
      </c>
      <c r="J564" t="str">
        <f>T("0931491798")</f>
        <v>0931491798</v>
      </c>
      <c r="K564" t="s">
        <v>2177</v>
      </c>
    </row>
    <row r="565" spans="1:11">
      <c r="A565">
        <v>8428</v>
      </c>
      <c r="B565" t="s">
        <v>2178</v>
      </c>
      <c r="C565" t="s">
        <v>2179</v>
      </c>
      <c r="D565" t="str">
        <f>T("96100")</f>
        <v>96100</v>
      </c>
      <c r="E565" t="s">
        <v>2176</v>
      </c>
      <c r="F565" t="s">
        <v>2168</v>
      </c>
      <c r="G565" t="s">
        <v>2140</v>
      </c>
      <c r="H565" t="s">
        <v>1543</v>
      </c>
      <c r="I565" t="str">
        <f>T("093161432")</f>
        <v>093161432</v>
      </c>
      <c r="J565" t="str">
        <f>T("0931315057")</f>
        <v>0931315057</v>
      </c>
      <c r="K565" t="s">
        <v>2180</v>
      </c>
    </row>
    <row r="566" spans="1:11">
      <c r="A566">
        <v>8525</v>
      </c>
      <c r="B566" t="s">
        <v>2181</v>
      </c>
      <c r="C566" t="s">
        <v>2182</v>
      </c>
      <c r="D566" t="str">
        <f>T("98066")</f>
        <v>98066</v>
      </c>
      <c r="E566" t="s">
        <v>2183</v>
      </c>
      <c r="F566" t="s">
        <v>2184</v>
      </c>
      <c r="G566" t="s">
        <v>2140</v>
      </c>
      <c r="H566" t="s">
        <v>1543</v>
      </c>
      <c r="I566" t="str">
        <f>T("0941240218")</f>
        <v>0941240218</v>
      </c>
      <c r="J566" t="str">
        <f>T("0941240297")</f>
        <v>0941240297</v>
      </c>
      <c r="K566" t="s">
        <v>2185</v>
      </c>
    </row>
    <row r="567" spans="1:11">
      <c r="A567">
        <v>8603</v>
      </c>
      <c r="B567" t="s">
        <v>2186</v>
      </c>
      <c r="C567" t="s">
        <v>2187</v>
      </c>
      <c r="D567" t="str">
        <f>T("91011")</f>
        <v>91011</v>
      </c>
      <c r="E567" t="s">
        <v>2188</v>
      </c>
      <c r="F567" t="s">
        <v>2189</v>
      </c>
      <c r="G567" t="s">
        <v>2140</v>
      </c>
      <c r="H567" t="s">
        <v>1543</v>
      </c>
      <c r="I567" t="str">
        <f>T("0924505318")</f>
        <v>0924505318</v>
      </c>
      <c r="J567" t="str">
        <f>T("0924502696")</f>
        <v>0924502696</v>
      </c>
      <c r="K567" t="s">
        <v>2190</v>
      </c>
    </row>
    <row r="568" spans="1:11">
      <c r="A568">
        <v>8622</v>
      </c>
      <c r="B568" t="s">
        <v>2191</v>
      </c>
      <c r="C568" t="s">
        <v>2192</v>
      </c>
      <c r="D568" t="str">
        <f>T("91100")</f>
        <v>91100</v>
      </c>
      <c r="E568" t="s">
        <v>2193</v>
      </c>
      <c r="F568" t="s">
        <v>2189</v>
      </c>
      <c r="G568" t="s">
        <v>2140</v>
      </c>
      <c r="H568" t="s">
        <v>1543</v>
      </c>
      <c r="I568" t="str">
        <f>T("0923540062")</f>
        <v>0923540062</v>
      </c>
      <c r="J568" t="str">
        <f>T("092327525")</f>
        <v>092327525</v>
      </c>
      <c r="K568" t="s">
        <v>2194</v>
      </c>
    </row>
    <row r="569" spans="1:11">
      <c r="A569">
        <v>8624</v>
      </c>
      <c r="B569" t="s">
        <v>2195</v>
      </c>
      <c r="C569" t="s">
        <v>2196</v>
      </c>
      <c r="D569" t="str">
        <f>T("91025")</f>
        <v>91025</v>
      </c>
      <c r="E569" t="s">
        <v>2197</v>
      </c>
      <c r="F569" t="s">
        <v>2189</v>
      </c>
      <c r="G569" t="s">
        <v>2140</v>
      </c>
      <c r="H569" t="s">
        <v>1543</v>
      </c>
      <c r="I569" t="str">
        <f>T("0923961327")</f>
        <v>0923961327</v>
      </c>
      <c r="J569" t="str">
        <f>T("0923961327")</f>
        <v>0923961327</v>
      </c>
      <c r="K569" t="s">
        <v>2198</v>
      </c>
    </row>
    <row r="570" spans="1:11">
      <c r="A570">
        <v>8625</v>
      </c>
      <c r="B570" t="s">
        <v>2199</v>
      </c>
      <c r="C570" t="s">
        <v>2200</v>
      </c>
      <c r="D570" t="str">
        <f>T("91022")</f>
        <v>91022</v>
      </c>
      <c r="E570" t="s">
        <v>2201</v>
      </c>
      <c r="F570" t="s">
        <v>2189</v>
      </c>
      <c r="G570" t="s">
        <v>2140</v>
      </c>
      <c r="H570" t="s">
        <v>1543</v>
      </c>
      <c r="I570" t="str">
        <f>T("0924902477")</f>
        <v>0924902477</v>
      </c>
      <c r="J570" t="str">
        <f>T("0924902477")</f>
        <v>0924902477</v>
      </c>
      <c r="K570" t="s">
        <v>2202</v>
      </c>
    </row>
    <row r="571" spans="1:11">
      <c r="A571">
        <v>8730</v>
      </c>
      <c r="B571" t="s">
        <v>2203</v>
      </c>
      <c r="C571" t="s">
        <v>2204</v>
      </c>
      <c r="D571" t="str">
        <f>T("97100")</f>
        <v>97100</v>
      </c>
      <c r="E571" t="s">
        <v>2205</v>
      </c>
      <c r="F571" t="s">
        <v>2206</v>
      </c>
      <c r="G571" t="s">
        <v>2140</v>
      </c>
      <c r="H571" t="s">
        <v>1543</v>
      </c>
      <c r="I571" t="str">
        <f>T("0932258423")</f>
        <v>0932258423</v>
      </c>
      <c r="J571" t="str">
        <f>T("0932258423")</f>
        <v>0932258423</v>
      </c>
      <c r="K571" t="s">
        <v>2207</v>
      </c>
    </row>
    <row r="572" spans="1:11">
      <c r="A572">
        <v>8814</v>
      </c>
      <c r="B572" t="s">
        <v>2208</v>
      </c>
      <c r="C572" t="s">
        <v>2209</v>
      </c>
      <c r="D572" t="str">
        <f>T("92024")</f>
        <v>92024</v>
      </c>
      <c r="E572" t="s">
        <v>2210</v>
      </c>
      <c r="F572" t="s">
        <v>2211</v>
      </c>
      <c r="G572" t="s">
        <v>2140</v>
      </c>
      <c r="H572" t="s">
        <v>1543</v>
      </c>
      <c r="I572" t="str">
        <f>T("0922858321")</f>
        <v>0922858321</v>
      </c>
      <c r="J572" t="str">
        <f>T("0922857980")</f>
        <v>0922857980</v>
      </c>
      <c r="K572" t="s">
        <v>2212</v>
      </c>
    </row>
    <row r="573" spans="1:11">
      <c r="A573">
        <v>8818</v>
      </c>
      <c r="B573" t="s">
        <v>2213</v>
      </c>
      <c r="C573" t="s">
        <v>2214</v>
      </c>
      <c r="D573" t="str">
        <f>T("92026")</f>
        <v>92026</v>
      </c>
      <c r="E573" t="s">
        <v>2215</v>
      </c>
      <c r="F573" t="s">
        <v>2211</v>
      </c>
      <c r="G573" t="s">
        <v>2140</v>
      </c>
      <c r="H573" t="s">
        <v>1543</v>
      </c>
      <c r="I573" t="str">
        <f>T("092233922")</f>
        <v>092233922</v>
      </c>
      <c r="J573" t="str">
        <f>T("0922436063")</f>
        <v>0922436063</v>
      </c>
      <c r="K573" t="s">
        <v>2216</v>
      </c>
    </row>
    <row r="574" spans="1:11">
      <c r="A574">
        <v>8824</v>
      </c>
      <c r="B574" t="s">
        <v>2217</v>
      </c>
      <c r="C574" t="s">
        <v>2218</v>
      </c>
      <c r="D574" t="str">
        <f>T("92019")</f>
        <v>92019</v>
      </c>
      <c r="E574" t="s">
        <v>2219</v>
      </c>
      <c r="F574" t="s">
        <v>2211</v>
      </c>
      <c r="G574" t="s">
        <v>2140</v>
      </c>
      <c r="H574" t="s">
        <v>1543</v>
      </c>
      <c r="I574" t="str">
        <f>T("0925902717")</f>
        <v>0925902717</v>
      </c>
      <c r="J574" t="str">
        <f>T("0925902717")</f>
        <v>0925902717</v>
      </c>
      <c r="K574" t="s">
        <v>2220</v>
      </c>
    </row>
    <row r="575" spans="1:11">
      <c r="A575">
        <v>8826</v>
      </c>
      <c r="B575" t="s">
        <v>2221</v>
      </c>
      <c r="C575" t="s">
        <v>2222</v>
      </c>
      <c r="D575" t="str">
        <f>T("92015")</f>
        <v>92015</v>
      </c>
      <c r="E575" t="s">
        <v>2223</v>
      </c>
      <c r="F575" t="s">
        <v>2211</v>
      </c>
      <c r="G575" t="s">
        <v>2140</v>
      </c>
      <c r="H575" t="s">
        <v>1543</v>
      </c>
      <c r="I575" t="str">
        <f>T("0922473330")</f>
        <v>0922473330</v>
      </c>
      <c r="J575" t="str">
        <f>T("0922473330")</f>
        <v>0922473330</v>
      </c>
      <c r="K575" t="s">
        <v>2224</v>
      </c>
    </row>
    <row r="576" spans="1:11">
      <c r="A576">
        <v>9015</v>
      </c>
      <c r="B576" t="s">
        <v>2225</v>
      </c>
      <c r="C576" t="s">
        <v>2226</v>
      </c>
      <c r="D576" t="str">
        <f>T("95041")</f>
        <v>95041</v>
      </c>
      <c r="E576" t="s">
        <v>2227</v>
      </c>
      <c r="F576" t="s">
        <v>2228</v>
      </c>
      <c r="G576" t="s">
        <v>2140</v>
      </c>
      <c r="H576" t="s">
        <v>1543</v>
      </c>
      <c r="I576" t="str">
        <f>T("093326605")</f>
        <v>093326605</v>
      </c>
      <c r="J576" t="str">
        <f>T("09331903935")</f>
        <v>09331903935</v>
      </c>
      <c r="K576" t="s">
        <v>2229</v>
      </c>
    </row>
    <row r="577" spans="1:11">
      <c r="A577">
        <v>9021</v>
      </c>
      <c r="B577" t="s">
        <v>2230</v>
      </c>
      <c r="C577" t="s">
        <v>2231</v>
      </c>
      <c r="D577" t="str">
        <f>T("95024")</f>
        <v>95024</v>
      </c>
      <c r="E577" t="s">
        <v>2232</v>
      </c>
      <c r="F577" t="s">
        <v>2228</v>
      </c>
      <c r="G577" t="s">
        <v>2140</v>
      </c>
      <c r="H577" t="s">
        <v>1543</v>
      </c>
      <c r="I577" t="str">
        <f>T("095894362")</f>
        <v>095894362</v>
      </c>
      <c r="J577" t="str">
        <f>T("095894362")</f>
        <v>095894362</v>
      </c>
      <c r="K577" t="s">
        <v>2233</v>
      </c>
    </row>
    <row r="578" spans="1:11">
      <c r="A578">
        <v>9035</v>
      </c>
      <c r="B578" t="s">
        <v>2234</v>
      </c>
      <c r="C578" t="s">
        <v>2235</v>
      </c>
      <c r="D578" t="str">
        <f>T("95037")</f>
        <v>95037</v>
      </c>
      <c r="E578" t="s">
        <v>2236</v>
      </c>
      <c r="F578" t="s">
        <v>2228</v>
      </c>
      <c r="G578" t="s">
        <v>2140</v>
      </c>
      <c r="H578" t="s">
        <v>1543</v>
      </c>
      <c r="I578" t="str">
        <f>T("0957414406")</f>
        <v>0957414406</v>
      </c>
      <c r="J578" t="str">
        <f>T("0957413953")</f>
        <v>0957413953</v>
      </c>
      <c r="K578" t="s">
        <v>2237</v>
      </c>
    </row>
    <row r="579" spans="1:11">
      <c r="A579">
        <v>9037</v>
      </c>
      <c r="B579" t="s">
        <v>2238</v>
      </c>
      <c r="C579" t="s">
        <v>2239</v>
      </c>
      <c r="D579" t="str">
        <f>T("95014")</f>
        <v>95014</v>
      </c>
      <c r="E579" t="s">
        <v>2240</v>
      </c>
      <c r="F579" t="s">
        <v>2228</v>
      </c>
      <c r="G579" t="s">
        <v>2140</v>
      </c>
      <c r="H579" t="s">
        <v>1543</v>
      </c>
      <c r="I579" t="str">
        <f>T("0957796987")</f>
        <v>0957796987</v>
      </c>
      <c r="J579" t="str">
        <f>T("0957796987")</f>
        <v>0957796987</v>
      </c>
      <c r="K579" t="s">
        <v>2241</v>
      </c>
    </row>
    <row r="580" spans="1:11">
      <c r="A580">
        <v>9042</v>
      </c>
      <c r="B580" t="s">
        <v>2242</v>
      </c>
      <c r="C580" t="s">
        <v>2243</v>
      </c>
      <c r="D580" t="str">
        <f>T("95131")</f>
        <v>95131</v>
      </c>
      <c r="E580" t="s">
        <v>2244</v>
      </c>
      <c r="F580" t="s">
        <v>2228</v>
      </c>
      <c r="G580" t="s">
        <v>2140</v>
      </c>
      <c r="H580" t="s">
        <v>1543</v>
      </c>
      <c r="I580" t="str">
        <f>T("095539914")</f>
        <v>095539914</v>
      </c>
      <c r="J580" t="str">
        <f>T("095539933")</f>
        <v>095539933</v>
      </c>
      <c r="K580" t="s">
        <v>2245</v>
      </c>
    </row>
    <row r="581" spans="1:11">
      <c r="A581">
        <v>9043</v>
      </c>
      <c r="B581" t="s">
        <v>2246</v>
      </c>
      <c r="C581" t="s">
        <v>2247</v>
      </c>
      <c r="D581" t="str">
        <f>T("95128")</f>
        <v>95128</v>
      </c>
      <c r="E581" t="s">
        <v>2244</v>
      </c>
      <c r="F581" t="s">
        <v>2228</v>
      </c>
      <c r="G581" t="s">
        <v>2140</v>
      </c>
      <c r="H581" t="s">
        <v>1543</v>
      </c>
      <c r="I581" t="str">
        <f>T("095435884")</f>
        <v>095435884</v>
      </c>
      <c r="J581" t="str">
        <f>T("095435884")</f>
        <v>095435884</v>
      </c>
      <c r="K581" t="s">
        <v>2248</v>
      </c>
    </row>
    <row r="582" spans="1:11">
      <c r="A582">
        <v>9101</v>
      </c>
      <c r="B582" t="s">
        <v>2249</v>
      </c>
      <c r="C582" t="s">
        <v>2250</v>
      </c>
      <c r="D582" t="str">
        <f>T("09124")</f>
        <v>09124</v>
      </c>
      <c r="E582" t="s">
        <v>2251</v>
      </c>
      <c r="F582" t="s">
        <v>2252</v>
      </c>
      <c r="G582" t="s">
        <v>2253</v>
      </c>
      <c r="H582" t="s">
        <v>1543</v>
      </c>
      <c r="I582" t="str">
        <f>T("070669145")</f>
        <v>070669145</v>
      </c>
      <c r="J582" t="str">
        <f>T("070658415")</f>
        <v>070658415</v>
      </c>
      <c r="K582" t="s">
        <v>2254</v>
      </c>
    </row>
    <row r="583" spans="1:11">
      <c r="A583">
        <v>9118</v>
      </c>
      <c r="B583" t="s">
        <v>2255</v>
      </c>
      <c r="C583" t="s">
        <v>2256</v>
      </c>
      <c r="D583" t="str">
        <f>T("09045")</f>
        <v>09045</v>
      </c>
      <c r="E583" t="s">
        <v>2257</v>
      </c>
      <c r="F583" t="s">
        <v>2252</v>
      </c>
      <c r="G583" t="s">
        <v>2253</v>
      </c>
      <c r="H583" t="s">
        <v>1543</v>
      </c>
      <c r="I583" t="str">
        <f>T("070886077")</f>
        <v>070886077</v>
      </c>
      <c r="J583" t="str">
        <f>T("070884192")</f>
        <v>070884192</v>
      </c>
      <c r="K583" t="s">
        <v>2258</v>
      </c>
    </row>
    <row r="584" spans="1:11">
      <c r="A584">
        <v>9126</v>
      </c>
      <c r="B584" t="s">
        <v>2259</v>
      </c>
      <c r="C584" t="s">
        <v>2260</v>
      </c>
      <c r="D584" t="str">
        <f>T("09032")</f>
        <v>09032</v>
      </c>
      <c r="E584" t="s">
        <v>2261</v>
      </c>
      <c r="F584" t="s">
        <v>2252</v>
      </c>
      <c r="G584" t="s">
        <v>2253</v>
      </c>
      <c r="H584" t="s">
        <v>1543</v>
      </c>
      <c r="I584" t="str">
        <f>T("070944941")</f>
        <v>070944941</v>
      </c>
      <c r="J584" t="str">
        <f>T("0709476248")</f>
        <v>0709476248</v>
      </c>
      <c r="K584" t="s">
        <v>2262</v>
      </c>
    </row>
    <row r="585" spans="1:11">
      <c r="A585">
        <v>9128</v>
      </c>
      <c r="B585" t="s">
        <v>2263</v>
      </c>
      <c r="C585" t="s">
        <v>2264</v>
      </c>
      <c r="D585" t="str">
        <f>T("09013")</f>
        <v>09013</v>
      </c>
      <c r="E585" t="s">
        <v>2265</v>
      </c>
      <c r="F585" t="s">
        <v>2266</v>
      </c>
      <c r="G585" t="s">
        <v>2253</v>
      </c>
      <c r="H585" t="s">
        <v>1543</v>
      </c>
      <c r="I585" t="str">
        <f>T("0781671162")</f>
        <v>0781671162</v>
      </c>
      <c r="J585" t="str">
        <f>T("0781675299")</f>
        <v>0781675299</v>
      </c>
      <c r="K585" t="s">
        <v>2267</v>
      </c>
    </row>
    <row r="586" spans="1:11">
      <c r="A586">
        <v>9129</v>
      </c>
      <c r="B586" t="s">
        <v>2268</v>
      </c>
      <c r="C586" t="s">
        <v>2269</v>
      </c>
      <c r="D586" t="str">
        <f>T("09134")</f>
        <v>09134</v>
      </c>
      <c r="E586" t="s">
        <v>2251</v>
      </c>
      <c r="F586" t="s">
        <v>2252</v>
      </c>
      <c r="G586" t="s">
        <v>2253</v>
      </c>
      <c r="H586" t="s">
        <v>1543</v>
      </c>
      <c r="I586" t="str">
        <f>T("070503732")</f>
        <v>070503732</v>
      </c>
      <c r="J586" t="str">
        <f>T("070503732")</f>
        <v>070503732</v>
      </c>
      <c r="K586" t="s">
        <v>2270</v>
      </c>
    </row>
    <row r="587" spans="1:11">
      <c r="A587">
        <v>9202</v>
      </c>
      <c r="B587" t="s">
        <v>2271</v>
      </c>
      <c r="C587" t="s">
        <v>2272</v>
      </c>
      <c r="D587" t="str">
        <f>T("07028")</f>
        <v>07028</v>
      </c>
      <c r="E587" t="s">
        <v>2273</v>
      </c>
      <c r="F587" t="s">
        <v>2274</v>
      </c>
      <c r="G587" t="s">
        <v>2253</v>
      </c>
      <c r="H587" t="s">
        <v>1543</v>
      </c>
      <c r="I587" t="str">
        <f>T("0789754672")</f>
        <v>0789754672</v>
      </c>
      <c r="J587" t="str">
        <f>T("0789754672")</f>
        <v>0789754672</v>
      </c>
      <c r="K587" t="s">
        <v>2275</v>
      </c>
    </row>
    <row r="588" spans="1:11">
      <c r="A588">
        <v>9221</v>
      </c>
      <c r="B588" t="s">
        <v>2276</v>
      </c>
      <c r="C588" t="s">
        <v>2277</v>
      </c>
      <c r="D588" t="str">
        <f>T("07021")</f>
        <v>07021</v>
      </c>
      <c r="E588" t="s">
        <v>2278</v>
      </c>
      <c r="F588" t="s">
        <v>2274</v>
      </c>
      <c r="G588" t="s">
        <v>2253</v>
      </c>
      <c r="H588" t="s">
        <v>1543</v>
      </c>
      <c r="I588" t="str">
        <f>T("0789845000")</f>
        <v>0789845000</v>
      </c>
      <c r="J588" t="str">
        <f>T("0789844090")</f>
        <v>0789844090</v>
      </c>
      <c r="K588" t="s">
        <v>2279</v>
      </c>
    </row>
    <row r="589" spans="1:11">
      <c r="A589">
        <v>9223</v>
      </c>
      <c r="B589" t="s">
        <v>2280</v>
      </c>
      <c r="C589" t="s">
        <v>2281</v>
      </c>
      <c r="D589" t="str">
        <f>T("07046")</f>
        <v>07046</v>
      </c>
      <c r="E589" t="s">
        <v>2282</v>
      </c>
      <c r="F589" t="s">
        <v>2274</v>
      </c>
      <c r="G589" t="s">
        <v>2253</v>
      </c>
      <c r="H589" t="s">
        <v>1543</v>
      </c>
      <c r="I589" t="str">
        <f>T("079501601")</f>
        <v>079501601</v>
      </c>
      <c r="J589" t="str">
        <f>T("079501601")</f>
        <v>079501601</v>
      </c>
      <c r="K589" t="s">
        <v>2283</v>
      </c>
    </row>
    <row r="590" spans="1:11">
      <c r="A590">
        <v>9229</v>
      </c>
      <c r="B590" t="s">
        <v>2284</v>
      </c>
      <c r="C590" t="s">
        <v>2285</v>
      </c>
      <c r="D590" t="str">
        <f>T("07026")</f>
        <v>07026</v>
      </c>
      <c r="E590" t="s">
        <v>2286</v>
      </c>
      <c r="F590" t="s">
        <v>2274</v>
      </c>
      <c r="G590" t="s">
        <v>2253</v>
      </c>
      <c r="H590" t="s">
        <v>1543</v>
      </c>
      <c r="I590" t="str">
        <f>T("078926336")</f>
        <v>078926336</v>
      </c>
      <c r="J590" t="str">
        <f>T("078924519")</f>
        <v>078924519</v>
      </c>
      <c r="K590" t="s">
        <v>2287</v>
      </c>
    </row>
    <row r="591" spans="1:11">
      <c r="A591">
        <v>9232</v>
      </c>
      <c r="B591" t="s">
        <v>2288</v>
      </c>
      <c r="C591" t="s">
        <v>2289</v>
      </c>
      <c r="D591" t="str">
        <f>T("07100")</f>
        <v>07100</v>
      </c>
      <c r="E591" t="s">
        <v>2290</v>
      </c>
      <c r="F591" t="s">
        <v>2274</v>
      </c>
      <c r="G591" t="s">
        <v>2253</v>
      </c>
      <c r="H591" t="s">
        <v>1543</v>
      </c>
      <c r="I591" t="str">
        <f>T("0792010051")</f>
        <v>0792010051</v>
      </c>
      <c r="J591" t="str">
        <f>T("0792010713")</f>
        <v>0792010713</v>
      </c>
      <c r="K591" t="s">
        <v>2291</v>
      </c>
    </row>
    <row r="592" spans="1:11">
      <c r="A592">
        <v>9233</v>
      </c>
      <c r="B592" t="s">
        <v>2292</v>
      </c>
      <c r="C592" t="s">
        <v>2293</v>
      </c>
      <c r="D592" t="str">
        <f>T("07100")</f>
        <v>07100</v>
      </c>
      <c r="E592" t="s">
        <v>2290</v>
      </c>
      <c r="F592" t="s">
        <v>2274</v>
      </c>
      <c r="G592" t="s">
        <v>2253</v>
      </c>
      <c r="H592" t="s">
        <v>1543</v>
      </c>
      <c r="I592" t="str">
        <f>T("0792015107")</f>
        <v>0792015107</v>
      </c>
      <c r="J592" t="str">
        <f>T("0792015107")</f>
        <v>0792015107</v>
      </c>
      <c r="K592" t="s">
        <v>2294</v>
      </c>
    </row>
    <row r="593" spans="1:11">
      <c r="A593">
        <v>9234</v>
      </c>
      <c r="B593" t="s">
        <v>2295</v>
      </c>
      <c r="C593" t="s">
        <v>2296</v>
      </c>
      <c r="D593" t="str">
        <f>T("07041")</f>
        <v>07041</v>
      </c>
      <c r="E593" t="s">
        <v>2297</v>
      </c>
      <c r="F593" t="s">
        <v>2274</v>
      </c>
      <c r="G593" t="s">
        <v>2253</v>
      </c>
      <c r="H593" t="s">
        <v>1543</v>
      </c>
      <c r="I593" t="str">
        <f>T("079979618")</f>
        <v>079979618</v>
      </c>
      <c r="J593" t="str">
        <f>T("")</f>
        <v/>
      </c>
      <c r="K593" t="s">
        <v>2298</v>
      </c>
    </row>
    <row r="594" spans="1:11">
      <c r="A594">
        <v>9317</v>
      </c>
      <c r="B594" t="s">
        <v>2299</v>
      </c>
      <c r="C594" t="s">
        <v>2300</v>
      </c>
      <c r="D594" t="str">
        <f>T("08100")</f>
        <v>08100</v>
      </c>
      <c r="E594" t="s">
        <v>2301</v>
      </c>
      <c r="F594" t="s">
        <v>2302</v>
      </c>
      <c r="G594" t="s">
        <v>2253</v>
      </c>
      <c r="H594" t="s">
        <v>1543</v>
      </c>
      <c r="I594" t="str">
        <f>T("078430415")</f>
        <v>078430415</v>
      </c>
      <c r="J594" t="str">
        <f>T("0784235206")</f>
        <v>0784235206</v>
      </c>
      <c r="K594" t="s">
        <v>2303</v>
      </c>
    </row>
    <row r="595" spans="1:11">
      <c r="A595">
        <v>9320</v>
      </c>
      <c r="B595" t="s">
        <v>2304</v>
      </c>
      <c r="C595" t="s">
        <v>2305</v>
      </c>
      <c r="D595" t="str">
        <f>T("09098")</f>
        <v>09098</v>
      </c>
      <c r="E595" t="s">
        <v>2306</v>
      </c>
      <c r="F595" t="s">
        <v>2307</v>
      </c>
      <c r="G595" t="s">
        <v>2253</v>
      </c>
      <c r="H595" t="s">
        <v>1543</v>
      </c>
      <c r="I595" t="str">
        <f>T("0783851083")</f>
        <v>0783851083</v>
      </c>
      <c r="J595" t="str">
        <f>T("0783850456")</f>
        <v>0783850456</v>
      </c>
      <c r="K595" t="s">
        <v>2308</v>
      </c>
    </row>
    <row r="596" spans="1:11">
      <c r="A596">
        <v>9321</v>
      </c>
      <c r="B596" t="s">
        <v>2309</v>
      </c>
      <c r="C596" t="s">
        <v>2310</v>
      </c>
      <c r="D596" t="str">
        <f>T("09170")</f>
        <v>09170</v>
      </c>
      <c r="E596" t="s">
        <v>2311</v>
      </c>
      <c r="F596" t="s">
        <v>2307</v>
      </c>
      <c r="G596" t="s">
        <v>2253</v>
      </c>
      <c r="H596" t="s">
        <v>1543</v>
      </c>
      <c r="I596" t="str">
        <f>T("0783310134")</f>
        <v>0783310134</v>
      </c>
      <c r="J596" t="str">
        <f>T("0783310134")</f>
        <v>0783310134</v>
      </c>
      <c r="K596" t="s">
        <v>2312</v>
      </c>
    </row>
    <row r="597" spans="1:11">
      <c r="A597">
        <v>9500</v>
      </c>
      <c r="B597" t="s">
        <v>2313</v>
      </c>
      <c r="C597" t="s">
        <v>2314</v>
      </c>
      <c r="D597" t="str">
        <f>T("70100")</f>
        <v>70100</v>
      </c>
      <c r="E597" t="s">
        <v>2315</v>
      </c>
      <c r="F597" t="s">
        <v>1998</v>
      </c>
      <c r="G597" t="s">
        <v>1999</v>
      </c>
      <c r="H597" t="s">
        <v>1543</v>
      </c>
      <c r="I597" t="str">
        <f>T("0805227982")</f>
        <v>0805227982</v>
      </c>
      <c r="J597" t="str">
        <f>T("0805227982")</f>
        <v>0805227982</v>
      </c>
      <c r="K597" t="s">
        <v>2316</v>
      </c>
    </row>
    <row r="598" spans="1:11">
      <c r="A598">
        <v>9501</v>
      </c>
      <c r="B598" t="s">
        <v>2317</v>
      </c>
      <c r="C598" t="s">
        <v>2318</v>
      </c>
      <c r="D598" t="str">
        <f>T("22074")</f>
        <v>22074</v>
      </c>
      <c r="E598" t="s">
        <v>2319</v>
      </c>
      <c r="F598" t="s">
        <v>272</v>
      </c>
      <c r="G598" t="s">
        <v>217</v>
      </c>
      <c r="H598" t="s">
        <v>16</v>
      </c>
      <c r="I598" t="str">
        <f>T("0296371193")</f>
        <v>0296371193</v>
      </c>
      <c r="J598" t="str">
        <f>T("0296371075")</f>
        <v>0296371075</v>
      </c>
      <c r="K598" t="s">
        <v>2320</v>
      </c>
    </row>
    <row r="599" spans="1:11">
      <c r="A599">
        <v>9502</v>
      </c>
      <c r="B599" t="s">
        <v>2321</v>
      </c>
      <c r="C599" t="s">
        <v>2322</v>
      </c>
      <c r="D599" t="str">
        <f>T("00184")</f>
        <v>00184</v>
      </c>
      <c r="E599" t="s">
        <v>18</v>
      </c>
      <c r="F599" t="s">
        <v>19</v>
      </c>
      <c r="G599" t="s">
        <v>20</v>
      </c>
      <c r="H599" t="s">
        <v>1543</v>
      </c>
      <c r="I599" t="str">
        <f>T("06484949")</f>
        <v>06484949</v>
      </c>
      <c r="J599" t="str">
        <f>T("06484949")</f>
        <v>06484949</v>
      </c>
      <c r="K599" t="s">
        <v>2323</v>
      </c>
    </row>
    <row r="600" spans="1:11">
      <c r="A600">
        <v>9503</v>
      </c>
      <c r="B600" t="s">
        <v>2324</v>
      </c>
      <c r="C600" t="s">
        <v>2325</v>
      </c>
      <c r="D600" t="str">
        <f>T("00159")</f>
        <v>00159</v>
      </c>
      <c r="E600" t="s">
        <v>18</v>
      </c>
      <c r="F600" t="s">
        <v>19</v>
      </c>
      <c r="G600" t="s">
        <v>20</v>
      </c>
      <c r="H600" t="s">
        <v>1543</v>
      </c>
      <c r="I600" t="str">
        <f>T("0643532350")</f>
        <v>0643532350</v>
      </c>
      <c r="J600" t="str">
        <f>T("0643532350")</f>
        <v>0643532350</v>
      </c>
      <c r="K600" t="s">
        <v>2326</v>
      </c>
    </row>
    <row r="601" spans="1:11">
      <c r="A601">
        <v>9504</v>
      </c>
      <c r="B601" t="s">
        <v>2327</v>
      </c>
      <c r="C601" t="s">
        <v>2328</v>
      </c>
      <c r="D601" t="str">
        <f>T("95125")</f>
        <v>95125</v>
      </c>
      <c r="E601" t="s">
        <v>2244</v>
      </c>
      <c r="F601" t="s">
        <v>2228</v>
      </c>
      <c r="G601" t="s">
        <v>2140</v>
      </c>
      <c r="H601" t="s">
        <v>1543</v>
      </c>
      <c r="I601" t="str">
        <f>T("095222607")</f>
        <v>095222607</v>
      </c>
      <c r="J601" t="str">
        <f>T("095222607")</f>
        <v>095222607</v>
      </c>
      <c r="K601" t="s">
        <v>2329</v>
      </c>
    </row>
    <row r="602" spans="1:11">
      <c r="A602">
        <v>9505</v>
      </c>
      <c r="B602" t="s">
        <v>2330</v>
      </c>
      <c r="C602" t="s">
        <v>2331</v>
      </c>
      <c r="D602" t="str">
        <f>T("21040")</f>
        <v>21040</v>
      </c>
      <c r="E602" t="s">
        <v>2332</v>
      </c>
      <c r="F602" t="s">
        <v>494</v>
      </c>
      <c r="G602" t="s">
        <v>217</v>
      </c>
      <c r="H602" t="s">
        <v>16</v>
      </c>
      <c r="I602" t="str">
        <f>T("0296780572")</f>
        <v>0296780572</v>
      </c>
      <c r="J602" t="str">
        <f>T("0296789387")</f>
        <v>0296789387</v>
      </c>
      <c r="K602" t="s">
        <v>2333</v>
      </c>
    </row>
    <row r="603" spans="1:11">
      <c r="A603">
        <v>9506</v>
      </c>
      <c r="B603" t="s">
        <v>2334</v>
      </c>
      <c r="C603" t="s">
        <v>2335</v>
      </c>
      <c r="D603" t="str">
        <f>T("00019")</f>
        <v>00019</v>
      </c>
      <c r="E603" t="s">
        <v>2336</v>
      </c>
      <c r="F603" t="s">
        <v>19</v>
      </c>
      <c r="G603" t="s">
        <v>20</v>
      </c>
      <c r="H603" t="s">
        <v>1543</v>
      </c>
      <c r="I603" t="str">
        <f>T("3316182591")</f>
        <v>3316182591</v>
      </c>
      <c r="J603" t="str">
        <f>T("")</f>
        <v/>
      </c>
      <c r="K603" t="s">
        <v>2337</v>
      </c>
    </row>
    <row r="604" spans="1:11">
      <c r="A604">
        <v>9509</v>
      </c>
      <c r="B604" t="s">
        <v>2338</v>
      </c>
      <c r="C604" t="s">
        <v>2339</v>
      </c>
      <c r="D604" t="str">
        <f>T("16043")</f>
        <v>16043</v>
      </c>
      <c r="E604" t="s">
        <v>2340</v>
      </c>
      <c r="F604" t="s">
        <v>889</v>
      </c>
      <c r="G604" t="s">
        <v>890</v>
      </c>
      <c r="H604" t="s">
        <v>16</v>
      </c>
      <c r="I604" t="str">
        <f>T("01851897023")</f>
        <v>01851897023</v>
      </c>
      <c r="J604" t="str">
        <f>T("0185264141")</f>
        <v>0185264141</v>
      </c>
      <c r="K604" t="s">
        <v>2341</v>
      </c>
    </row>
    <row r="605" spans="1:11">
      <c r="A605">
        <v>9510</v>
      </c>
      <c r="B605" t="s">
        <v>2342</v>
      </c>
      <c r="C605" t="s">
        <v>2343</v>
      </c>
      <c r="D605" t="str">
        <f>T("98050")</f>
        <v>98050</v>
      </c>
      <c r="E605" t="s">
        <v>2344</v>
      </c>
      <c r="F605" t="s">
        <v>2184</v>
      </c>
      <c r="G605" t="s">
        <v>2140</v>
      </c>
      <c r="H605" t="s">
        <v>1543</v>
      </c>
      <c r="I605" t="str">
        <f>T("0909740825")</f>
        <v>0909740825</v>
      </c>
      <c r="J605" t="str">
        <f>T("0909740825")</f>
        <v>0909740825</v>
      </c>
      <c r="K605" t="s">
        <v>2345</v>
      </c>
    </row>
    <row r="606" spans="1:11">
      <c r="A606">
        <v>9512</v>
      </c>
      <c r="B606" t="s">
        <v>2346</v>
      </c>
      <c r="C606" t="s">
        <v>2347</v>
      </c>
      <c r="D606" t="str">
        <f>T("01016")</f>
        <v>01016</v>
      </c>
      <c r="E606" t="s">
        <v>2348</v>
      </c>
      <c r="F606" t="s">
        <v>1704</v>
      </c>
      <c r="G606" t="s">
        <v>20</v>
      </c>
      <c r="H606" t="s">
        <v>21</v>
      </c>
      <c r="I606" t="str">
        <f>T("0766842764")</f>
        <v>0766842764</v>
      </c>
      <c r="J606" t="str">
        <f>T("0766842764")</f>
        <v>0766842764</v>
      </c>
      <c r="K606" t="s">
        <v>2349</v>
      </c>
    </row>
    <row r="607" spans="1:11">
      <c r="A607">
        <v>9514</v>
      </c>
      <c r="B607" t="s">
        <v>2350</v>
      </c>
      <c r="C607" t="s">
        <v>2351</v>
      </c>
      <c r="D607" t="str">
        <f>T("43121")</f>
        <v>43121</v>
      </c>
      <c r="E607" t="s">
        <v>1144</v>
      </c>
      <c r="F607" t="s">
        <v>1140</v>
      </c>
      <c r="G607" t="s">
        <v>937</v>
      </c>
      <c r="H607" t="s">
        <v>16</v>
      </c>
      <c r="I607" t="str">
        <f>T("0521286226")</f>
        <v>0521286226</v>
      </c>
      <c r="J607" t="str">
        <f>T("0521284922")</f>
        <v>0521284922</v>
      </c>
      <c r="K607" t="s">
        <v>2352</v>
      </c>
    </row>
    <row r="608" spans="1:11">
      <c r="A608">
        <v>9515</v>
      </c>
      <c r="B608" t="s">
        <v>2353</v>
      </c>
      <c r="C608" t="s">
        <v>2354</v>
      </c>
      <c r="D608" t="str">
        <f>T("20143")</f>
        <v>20143</v>
      </c>
      <c r="E608" t="s">
        <v>372</v>
      </c>
      <c r="F608" t="s">
        <v>361</v>
      </c>
      <c r="G608" t="s">
        <v>217</v>
      </c>
      <c r="H608" t="s">
        <v>16</v>
      </c>
      <c r="I608" t="str">
        <f>T("0289126093")</f>
        <v>0289126093</v>
      </c>
      <c r="J608" t="str">
        <f>T("0289126093")</f>
        <v>0289126093</v>
      </c>
      <c r="K608" t="s">
        <v>2355</v>
      </c>
    </row>
    <row r="609" spans="1:11">
      <c r="A609">
        <v>9516</v>
      </c>
      <c r="B609" t="s">
        <v>2356</v>
      </c>
      <c r="C609" t="s">
        <v>2357</v>
      </c>
      <c r="D609" t="str">
        <f>T("33085")</f>
        <v>33085</v>
      </c>
      <c r="E609" t="s">
        <v>2358</v>
      </c>
      <c r="F609" t="s">
        <v>841</v>
      </c>
      <c r="G609" t="s">
        <v>594</v>
      </c>
      <c r="H609" t="s">
        <v>21</v>
      </c>
      <c r="I609" t="str">
        <f>T("0422485687")</f>
        <v>0422485687</v>
      </c>
      <c r="J609" t="str">
        <f>T("")</f>
        <v/>
      </c>
      <c r="K609" t="s">
        <v>2359</v>
      </c>
    </row>
    <row r="610" spans="1:11">
      <c r="A610">
        <v>9517</v>
      </c>
      <c r="B610" t="s">
        <v>2360</v>
      </c>
      <c r="C610" t="s">
        <v>2361</v>
      </c>
      <c r="D610" t="str">
        <f>T("00136")</f>
        <v>00136</v>
      </c>
      <c r="E610" t="s">
        <v>18</v>
      </c>
      <c r="F610" t="s">
        <v>19</v>
      </c>
      <c r="G610" t="s">
        <v>20</v>
      </c>
      <c r="H610" t="s">
        <v>1543</v>
      </c>
      <c r="I610" t="str">
        <f>T("0635491832")</f>
        <v>0635491832</v>
      </c>
      <c r="J610" t="str">
        <f>T("0635491832")</f>
        <v>0635491832</v>
      </c>
      <c r="K610" t="s">
        <v>2362</v>
      </c>
    </row>
    <row r="611" spans="1:11">
      <c r="A611">
        <v>9518</v>
      </c>
      <c r="B611" t="s">
        <v>2363</v>
      </c>
      <c r="C611" t="s">
        <v>2364</v>
      </c>
      <c r="D611" t="str">
        <f>T("16035")</f>
        <v>16035</v>
      </c>
      <c r="E611" t="s">
        <v>2365</v>
      </c>
      <c r="F611" t="s">
        <v>889</v>
      </c>
      <c r="G611" t="s">
        <v>890</v>
      </c>
      <c r="H611" t="s">
        <v>16</v>
      </c>
      <c r="I611" t="str">
        <f>T("0185261251")</f>
        <v>0185261251</v>
      </c>
      <c r="J611" t="str">
        <f>T("0185264141")</f>
        <v>0185264141</v>
      </c>
      <c r="K611" t="s">
        <v>2366</v>
      </c>
    </row>
    <row r="612" spans="1:11">
      <c r="A612">
        <v>9519</v>
      </c>
      <c r="B612" t="s">
        <v>2367</v>
      </c>
      <c r="C612" t="s">
        <v>2368</v>
      </c>
      <c r="D612" t="str">
        <f>T("41037")</f>
        <v>41037</v>
      </c>
      <c r="E612" t="s">
        <v>1131</v>
      </c>
      <c r="F612" t="s">
        <v>1101</v>
      </c>
      <c r="G612" t="s">
        <v>937</v>
      </c>
      <c r="H612" t="s">
        <v>16</v>
      </c>
      <c r="I612" t="str">
        <f>T("053526589")</f>
        <v>053526589</v>
      </c>
      <c r="J612" t="str">
        <f>T("053521681")</f>
        <v>053521681</v>
      </c>
      <c r="K612" t="s">
        <v>2369</v>
      </c>
    </row>
    <row r="613" spans="1:11">
      <c r="A613">
        <v>9520</v>
      </c>
      <c r="B613" t="s">
        <v>2370</v>
      </c>
      <c r="C613" t="s">
        <v>2371</v>
      </c>
      <c r="D613" t="str">
        <f>T("61122")</f>
        <v>61122</v>
      </c>
      <c r="E613" t="s">
        <v>2372</v>
      </c>
      <c r="F613" t="s">
        <v>1534</v>
      </c>
      <c r="G613" t="s">
        <v>1455</v>
      </c>
      <c r="H613" t="s">
        <v>21</v>
      </c>
      <c r="I613" t="str">
        <f>T("0721583552")</f>
        <v>0721583552</v>
      </c>
      <c r="J613" t="str">
        <f>T("0721583553")</f>
        <v>0721583553</v>
      </c>
      <c r="K613" t="s">
        <v>2373</v>
      </c>
    </row>
    <row r="614" spans="1:11">
      <c r="A614">
        <v>9521</v>
      </c>
      <c r="B614" t="s">
        <v>2374</v>
      </c>
      <c r="C614" t="s">
        <v>2375</v>
      </c>
      <c r="D614" t="str">
        <f>T("50023")</f>
        <v>50023</v>
      </c>
      <c r="E614" t="s">
        <v>2376</v>
      </c>
      <c r="F614" t="s">
        <v>1242</v>
      </c>
      <c r="G614" t="s">
        <v>1222</v>
      </c>
      <c r="H614" t="s">
        <v>21</v>
      </c>
      <c r="I614" t="str">
        <f>T("0552022468")</f>
        <v>0552022468</v>
      </c>
      <c r="J614" t="str">
        <f>T("0552022468")</f>
        <v>0552022468</v>
      </c>
      <c r="K614" t="s">
        <v>2377</v>
      </c>
    </row>
    <row r="615" spans="1:11">
      <c r="A615">
        <v>9522</v>
      </c>
      <c r="B615" t="s">
        <v>2378</v>
      </c>
      <c r="C615" t="s">
        <v>2379</v>
      </c>
      <c r="D615" t="str">
        <f>T("73100")</f>
        <v>73100</v>
      </c>
      <c r="E615" t="s">
        <v>2071</v>
      </c>
      <c r="F615" t="s">
        <v>2059</v>
      </c>
      <c r="G615" t="s">
        <v>1999</v>
      </c>
      <c r="H615" t="s">
        <v>1543</v>
      </c>
      <c r="I615" t="str">
        <f>T("0832349477")</f>
        <v>0832349477</v>
      </c>
      <c r="J615" t="str">
        <f>T("")</f>
        <v/>
      </c>
      <c r="K615" t="s">
        <v>2380</v>
      </c>
    </row>
    <row r="616" spans="1:11">
      <c r="A616">
        <v>9523</v>
      </c>
      <c r="B616" t="s">
        <v>2381</v>
      </c>
      <c r="C616" t="s">
        <v>2382</v>
      </c>
      <c r="D616" t="str">
        <f>T("15121")</f>
        <v>15121</v>
      </c>
      <c r="E616" t="s">
        <v>2383</v>
      </c>
      <c r="F616" t="s">
        <v>25</v>
      </c>
      <c r="G616" t="s">
        <v>15</v>
      </c>
      <c r="H616" t="s">
        <v>16</v>
      </c>
      <c r="I616" t="str">
        <f>T("0131264546")</f>
        <v>0131264546</v>
      </c>
      <c r="J616" t="str">
        <f>T("0131264546")</f>
        <v>0131264546</v>
      </c>
      <c r="K616" t="s">
        <v>2384</v>
      </c>
    </row>
    <row r="617" spans="1:11">
      <c r="A617">
        <v>9524</v>
      </c>
      <c r="B617" t="s">
        <v>2385</v>
      </c>
      <c r="C617" t="s">
        <v>2386</v>
      </c>
      <c r="D617" t="str">
        <f>T("70122")</f>
        <v>70122</v>
      </c>
      <c r="E617" t="s">
        <v>2315</v>
      </c>
      <c r="F617" t="s">
        <v>1998</v>
      </c>
      <c r="G617" t="s">
        <v>1999</v>
      </c>
      <c r="H617" t="s">
        <v>1543</v>
      </c>
      <c r="I617" t="str">
        <f>T("0809149444")</f>
        <v>0809149444</v>
      </c>
      <c r="J617" t="str">
        <f>T("")</f>
        <v/>
      </c>
      <c r="K617" t="s">
        <v>2387</v>
      </c>
    </row>
    <row r="618" spans="1:11">
      <c r="A618">
        <v>10001</v>
      </c>
      <c r="B618" t="s">
        <v>2388</v>
      </c>
      <c r="C618" t="s">
        <v>2389</v>
      </c>
      <c r="D618" t="str">
        <f>T("30020")</f>
        <v>30020</v>
      </c>
      <c r="E618" t="s">
        <v>2390</v>
      </c>
      <c r="F618" t="s">
        <v>704</v>
      </c>
      <c r="G618" t="s">
        <v>594</v>
      </c>
      <c r="H618" t="s">
        <v>21</v>
      </c>
      <c r="I618" t="str">
        <f>T("0422824120")</f>
        <v>0422824120</v>
      </c>
      <c r="J618" t="str">
        <f>T("0422824120")</f>
        <v>0422824120</v>
      </c>
      <c r="K618" t="s">
        <v>2391</v>
      </c>
    </row>
    <row r="619" spans="1:11">
      <c r="A619">
        <v>10003</v>
      </c>
      <c r="B619" t="s">
        <v>2392</v>
      </c>
      <c r="C619" t="s">
        <v>2393</v>
      </c>
      <c r="D619" t="str">
        <f>T("17100")</f>
        <v>17100</v>
      </c>
      <c r="E619" t="s">
        <v>2394</v>
      </c>
      <c r="F619" t="s">
        <v>2395</v>
      </c>
      <c r="G619" t="s">
        <v>890</v>
      </c>
      <c r="H619" t="s">
        <v>16</v>
      </c>
      <c r="I619" t="str">
        <f>T("019851455")</f>
        <v>019851455</v>
      </c>
      <c r="J619" t="str">
        <f>T("019850733")</f>
        <v>019850733</v>
      </c>
      <c r="K619" t="s">
        <v>2396</v>
      </c>
    </row>
    <row r="620" spans="1:11">
      <c r="A620">
        <v>10006</v>
      </c>
      <c r="B620" t="s">
        <v>2397</v>
      </c>
      <c r="C620" t="s">
        <v>2398</v>
      </c>
      <c r="D620" t="str">
        <f>T("94100")</f>
        <v>94100</v>
      </c>
      <c r="E620" t="s">
        <v>2399</v>
      </c>
      <c r="F620" t="s">
        <v>2400</v>
      </c>
      <c r="G620" t="s">
        <v>2140</v>
      </c>
      <c r="H620" t="s">
        <v>1543</v>
      </c>
      <c r="I620" t="str">
        <f>T("093525441")</f>
        <v>093525441</v>
      </c>
      <c r="J620" t="str">
        <f>T("093525441")</f>
        <v>093525441</v>
      </c>
      <c r="K620" t="s">
        <v>2401</v>
      </c>
    </row>
    <row r="621" spans="1:11">
      <c r="A621">
        <v>10008</v>
      </c>
      <c r="B621" t="s">
        <v>2402</v>
      </c>
      <c r="C621" t="s">
        <v>2403</v>
      </c>
      <c r="D621" t="str">
        <f>T("80067")</f>
        <v>80067</v>
      </c>
      <c r="E621" t="s">
        <v>2404</v>
      </c>
      <c r="F621" t="s">
        <v>1906</v>
      </c>
      <c r="G621" t="s">
        <v>1858</v>
      </c>
      <c r="H621" t="s">
        <v>1543</v>
      </c>
      <c r="I621" t="str">
        <f>T("0818771822")</f>
        <v>0818771822</v>
      </c>
      <c r="J621" t="str">
        <f>T("0818771822")</f>
        <v>0818771822</v>
      </c>
      <c r="K621" t="s">
        <v>2405</v>
      </c>
    </row>
    <row r="622" spans="1:11">
      <c r="A622">
        <v>10009</v>
      </c>
      <c r="B622" t="s">
        <v>2406</v>
      </c>
      <c r="C622" t="s">
        <v>2407</v>
      </c>
      <c r="D622" t="str">
        <f>T("08029")</f>
        <v>08029</v>
      </c>
      <c r="E622" t="s">
        <v>2408</v>
      </c>
      <c r="F622" t="s">
        <v>2302</v>
      </c>
      <c r="G622" t="s">
        <v>2253</v>
      </c>
      <c r="H622" t="s">
        <v>1543</v>
      </c>
      <c r="I622" t="str">
        <f>T("0784878122")</f>
        <v>0784878122</v>
      </c>
      <c r="J622" t="str">
        <f>T("0784878122")</f>
        <v>0784878122</v>
      </c>
      <c r="K622" t="s">
        <v>2409</v>
      </c>
    </row>
    <row r="623" spans="1:11">
      <c r="A623">
        <v>10010</v>
      </c>
      <c r="B623" t="s">
        <v>2410</v>
      </c>
      <c r="C623" t="s">
        <v>2411</v>
      </c>
      <c r="D623" t="str">
        <f>T("94014")</f>
        <v>94014</v>
      </c>
      <c r="E623" t="s">
        <v>2412</v>
      </c>
      <c r="F623" t="s">
        <v>2400</v>
      </c>
      <c r="G623" t="s">
        <v>2140</v>
      </c>
      <c r="H623" t="s">
        <v>1543</v>
      </c>
      <c r="I623" t="str">
        <f>T("0935647289")</f>
        <v>0935647289</v>
      </c>
      <c r="J623" t="str">
        <f>T("0935647289")</f>
        <v>0935647289</v>
      </c>
      <c r="K623" t="s">
        <v>2413</v>
      </c>
    </row>
    <row r="624" spans="1:11">
      <c r="A624">
        <v>10011</v>
      </c>
      <c r="B624" t="s">
        <v>2414</v>
      </c>
      <c r="C624" t="s">
        <v>2415</v>
      </c>
      <c r="D624" t="str">
        <f>T("37051")</f>
        <v>37051</v>
      </c>
      <c r="E624" t="s">
        <v>2416</v>
      </c>
      <c r="F624" t="s">
        <v>744</v>
      </c>
      <c r="G624" t="s">
        <v>594</v>
      </c>
      <c r="H624" t="s">
        <v>16</v>
      </c>
      <c r="I624" t="str">
        <f>T("0455546338")</f>
        <v>0455546338</v>
      </c>
      <c r="J624" t="str">
        <f>T("0456900304")</f>
        <v>0456900304</v>
      </c>
      <c r="K624" t="s">
        <v>2417</v>
      </c>
    </row>
    <row r="625" spans="1:11">
      <c r="A625">
        <v>10012</v>
      </c>
      <c r="B625" t="s">
        <v>2418</v>
      </c>
      <c r="C625" t="s">
        <v>2419</v>
      </c>
      <c r="D625" t="str">
        <f>T("57025")</f>
        <v>57025</v>
      </c>
      <c r="E625" t="s">
        <v>2420</v>
      </c>
      <c r="F625" t="s">
        <v>1300</v>
      </c>
      <c r="G625" t="s">
        <v>1222</v>
      </c>
      <c r="H625" t="s">
        <v>21</v>
      </c>
      <c r="I625" t="str">
        <f>T("056538856")</f>
        <v>056538856</v>
      </c>
      <c r="J625" t="str">
        <f>T("056538856")</f>
        <v>056538856</v>
      </c>
      <c r="K625" t="s">
        <v>2421</v>
      </c>
    </row>
    <row r="626" spans="1:11">
      <c r="A626">
        <v>10014</v>
      </c>
      <c r="B626" t="s">
        <v>2422</v>
      </c>
      <c r="C626" t="s">
        <v>2423</v>
      </c>
      <c r="D626" t="str">
        <f>T("46029")</f>
        <v>46029</v>
      </c>
      <c r="E626" t="s">
        <v>2424</v>
      </c>
      <c r="F626" t="s">
        <v>333</v>
      </c>
      <c r="G626" t="s">
        <v>217</v>
      </c>
      <c r="H626" t="s">
        <v>16</v>
      </c>
      <c r="I626" t="str">
        <f>T("0376531028")</f>
        <v>0376531028</v>
      </c>
      <c r="J626" t="str">
        <f>T("0376507413")</f>
        <v>0376507413</v>
      </c>
      <c r="K626" t="s">
        <v>2425</v>
      </c>
    </row>
    <row r="627" spans="1:11">
      <c r="A627">
        <v>10016</v>
      </c>
      <c r="B627" t="s">
        <v>2426</v>
      </c>
      <c r="C627" t="s">
        <v>2427</v>
      </c>
      <c r="D627" t="str">
        <f>T("62012")</f>
        <v>62012</v>
      </c>
      <c r="E627" t="s">
        <v>2428</v>
      </c>
      <c r="F627" t="s">
        <v>1517</v>
      </c>
      <c r="G627" t="s">
        <v>1455</v>
      </c>
      <c r="H627" t="s">
        <v>21</v>
      </c>
      <c r="I627" t="str">
        <f>T("0733810419")</f>
        <v>0733810419</v>
      </c>
      <c r="J627" t="str">
        <f>T("0733810419")</f>
        <v>0733810419</v>
      </c>
      <c r="K627" t="s">
        <v>2429</v>
      </c>
    </row>
    <row r="628" spans="1:11">
      <c r="A628">
        <v>10017</v>
      </c>
      <c r="B628" t="s">
        <v>2430</v>
      </c>
      <c r="C628" t="s">
        <v>2431</v>
      </c>
      <c r="D628" t="str">
        <f>T("46041")</f>
        <v>46041</v>
      </c>
      <c r="E628" t="s">
        <v>2432</v>
      </c>
      <c r="F628" t="s">
        <v>333</v>
      </c>
      <c r="G628" t="s">
        <v>217</v>
      </c>
      <c r="H628" t="s">
        <v>16</v>
      </c>
      <c r="I628" t="str">
        <f>T("0376719283")</f>
        <v>0376719283</v>
      </c>
      <c r="J628" t="str">
        <f>T("0376719283")</f>
        <v>0376719283</v>
      </c>
      <c r="K628" t="s">
        <v>2433</v>
      </c>
    </row>
    <row r="629" spans="1:11">
      <c r="A629">
        <v>10018</v>
      </c>
      <c r="B629" t="s">
        <v>2434</v>
      </c>
      <c r="C629" t="s">
        <v>2435</v>
      </c>
      <c r="D629" t="str">
        <f>T("08015")</f>
        <v>08015</v>
      </c>
      <c r="E629" t="s">
        <v>2436</v>
      </c>
      <c r="F629" t="s">
        <v>2302</v>
      </c>
      <c r="G629" t="s">
        <v>2253</v>
      </c>
      <c r="H629" t="s">
        <v>1543</v>
      </c>
      <c r="I629" t="str">
        <f>T("078571797")</f>
        <v>078571797</v>
      </c>
      <c r="J629" t="str">
        <f>T("078571797")</f>
        <v>078571797</v>
      </c>
      <c r="K629" t="s">
        <v>2437</v>
      </c>
    </row>
    <row r="630" spans="1:11">
      <c r="A630">
        <v>10020</v>
      </c>
      <c r="B630" t="s">
        <v>2438</v>
      </c>
      <c r="C630" t="s">
        <v>2439</v>
      </c>
      <c r="D630" t="str">
        <f>T("40064")</f>
        <v>40064</v>
      </c>
      <c r="E630" t="s">
        <v>2440</v>
      </c>
      <c r="F630" t="s">
        <v>936</v>
      </c>
      <c r="G630" t="s">
        <v>937</v>
      </c>
      <c r="H630" t="s">
        <v>21</v>
      </c>
      <c r="I630" t="str">
        <f>T("051797306")</f>
        <v>051797306</v>
      </c>
      <c r="J630" t="str">
        <f>T("051797306")</f>
        <v>051797306</v>
      </c>
      <c r="K630" t="s">
        <v>2441</v>
      </c>
    </row>
    <row r="631" spans="1:11">
      <c r="A631">
        <v>10021</v>
      </c>
      <c r="B631" t="s">
        <v>2442</v>
      </c>
      <c r="C631" t="s">
        <v>2443</v>
      </c>
      <c r="D631" t="str">
        <f>T("01033")</f>
        <v>01033</v>
      </c>
      <c r="E631" t="s">
        <v>2444</v>
      </c>
      <c r="F631" t="s">
        <v>1704</v>
      </c>
      <c r="G631" t="s">
        <v>20</v>
      </c>
      <c r="H631" t="s">
        <v>21</v>
      </c>
      <c r="I631" t="str">
        <f>T("0761518133")</f>
        <v>0761518133</v>
      </c>
      <c r="J631" t="str">
        <f>T("0761518133")</f>
        <v>0761518133</v>
      </c>
      <c r="K631" t="s">
        <v>2445</v>
      </c>
    </row>
    <row r="632" spans="1:11">
      <c r="A632">
        <v>10022</v>
      </c>
      <c r="B632" t="s">
        <v>2446</v>
      </c>
      <c r="C632" t="s">
        <v>2447</v>
      </c>
      <c r="D632" t="str">
        <f>T("84091")</f>
        <v>84091</v>
      </c>
      <c r="E632" t="s">
        <v>2448</v>
      </c>
      <c r="F632" t="s">
        <v>1857</v>
      </c>
      <c r="G632" t="s">
        <v>1858</v>
      </c>
      <c r="H632" t="s">
        <v>1543</v>
      </c>
      <c r="I632" t="str">
        <f>T("0828304404")</f>
        <v>0828304404</v>
      </c>
      <c r="J632" t="str">
        <f>T("0828309327")</f>
        <v>0828309327</v>
      </c>
      <c r="K632" t="s">
        <v>2449</v>
      </c>
    </row>
    <row r="633" spans="1:11">
      <c r="A633">
        <v>10023</v>
      </c>
      <c r="B633" t="s">
        <v>2450</v>
      </c>
      <c r="C633" t="s">
        <v>2451</v>
      </c>
      <c r="D633" t="str">
        <f>T("20092")</f>
        <v>20092</v>
      </c>
      <c r="E633" t="s">
        <v>2452</v>
      </c>
      <c r="F633" t="s">
        <v>361</v>
      </c>
      <c r="G633" t="s">
        <v>217</v>
      </c>
      <c r="H633" t="s">
        <v>16</v>
      </c>
      <c r="I633" t="str">
        <f>T("026171252")</f>
        <v>026171252</v>
      </c>
      <c r="J633" t="str">
        <f>T("")</f>
        <v/>
      </c>
      <c r="K633" t="s">
        <v>2453</v>
      </c>
    </row>
    <row r="634" spans="1:11">
      <c r="A634">
        <v>10024</v>
      </c>
      <c r="B634" t="s">
        <v>2454</v>
      </c>
      <c r="C634" t="s">
        <v>2455</v>
      </c>
      <c r="D634" t="str">
        <f>T("04022")</f>
        <v>04022</v>
      </c>
      <c r="E634" t="s">
        <v>2456</v>
      </c>
      <c r="F634" t="s">
        <v>1560</v>
      </c>
      <c r="G634" t="s">
        <v>20</v>
      </c>
      <c r="H634" t="s">
        <v>1543</v>
      </c>
      <c r="I634" t="str">
        <f>T("0771531713")</f>
        <v>0771531713</v>
      </c>
      <c r="J634" t="str">
        <f>T("0771531713")</f>
        <v>0771531713</v>
      </c>
      <c r="K634" t="s">
        <v>2457</v>
      </c>
    </row>
    <row r="635" spans="1:11">
      <c r="A635">
        <v>10025</v>
      </c>
      <c r="B635" t="s">
        <v>2458</v>
      </c>
      <c r="C635" t="s">
        <v>2459</v>
      </c>
      <c r="D635" t="str">
        <f>T("37067")</f>
        <v>37067</v>
      </c>
      <c r="E635" t="s">
        <v>2460</v>
      </c>
      <c r="F635" t="s">
        <v>744</v>
      </c>
      <c r="G635" t="s">
        <v>594</v>
      </c>
      <c r="H635" t="s">
        <v>16</v>
      </c>
      <c r="I635" t="str">
        <f>T("0456370322")</f>
        <v>0456370322</v>
      </c>
      <c r="J635" t="str">
        <f>T("0456370322")</f>
        <v>0456370322</v>
      </c>
      <c r="K635" t="s">
        <v>2461</v>
      </c>
    </row>
    <row r="636" spans="1:11">
      <c r="A636">
        <v>10027</v>
      </c>
      <c r="B636" t="s">
        <v>2462</v>
      </c>
      <c r="C636" t="s">
        <v>2463</v>
      </c>
      <c r="D636" t="str">
        <f>T("08048")</f>
        <v>08048</v>
      </c>
      <c r="E636" t="s">
        <v>2464</v>
      </c>
      <c r="F636" t="s">
        <v>2302</v>
      </c>
      <c r="G636" t="s">
        <v>2253</v>
      </c>
      <c r="H636" t="s">
        <v>1543</v>
      </c>
      <c r="I636" t="str">
        <f>T("0782621050")</f>
        <v>0782621050</v>
      </c>
      <c r="J636" t="str">
        <f>T("0782621050")</f>
        <v>0782621050</v>
      </c>
      <c r="K636" t="s">
        <v>2465</v>
      </c>
    </row>
    <row r="637" spans="1:11">
      <c r="A637">
        <v>10032</v>
      </c>
      <c r="B637" t="s">
        <v>2466</v>
      </c>
      <c r="C637" t="s">
        <v>2467</v>
      </c>
      <c r="D637" t="str">
        <f>T("27049")</f>
        <v>27049</v>
      </c>
      <c r="E637" t="s">
        <v>2468</v>
      </c>
      <c r="F637" t="s">
        <v>414</v>
      </c>
      <c r="G637" t="s">
        <v>217</v>
      </c>
      <c r="H637" t="s">
        <v>16</v>
      </c>
      <c r="I637" t="str">
        <f>T("038549561")</f>
        <v>038549561</v>
      </c>
      <c r="J637" t="str">
        <f>T("038549561")</f>
        <v>038549561</v>
      </c>
      <c r="K637" t="s">
        <v>2469</v>
      </c>
    </row>
    <row r="638" spans="1:11">
      <c r="A638">
        <v>10033</v>
      </c>
      <c r="B638" t="s">
        <v>2470</v>
      </c>
      <c r="C638" t="s">
        <v>2471</v>
      </c>
      <c r="D638" t="str">
        <f>T("67043")</f>
        <v>67043</v>
      </c>
      <c r="E638" t="s">
        <v>2472</v>
      </c>
      <c r="F638" t="s">
        <v>1812</v>
      </c>
      <c r="G638" t="s">
        <v>1787</v>
      </c>
      <c r="H638" t="s">
        <v>21</v>
      </c>
      <c r="I638" t="str">
        <f>T("0863791991")</f>
        <v>0863791991</v>
      </c>
      <c r="J638" t="str">
        <f>T("0863791991")</f>
        <v>0863791991</v>
      </c>
      <c r="K638" t="s">
        <v>2473</v>
      </c>
    </row>
    <row r="639" spans="1:11">
      <c r="A639">
        <v>10034</v>
      </c>
      <c r="B639" t="s">
        <v>2474</v>
      </c>
      <c r="C639" t="s">
        <v>2475</v>
      </c>
      <c r="D639" t="str">
        <f>T("89029")</f>
        <v>89029</v>
      </c>
      <c r="E639" t="s">
        <v>2476</v>
      </c>
      <c r="F639" t="s">
        <v>2122</v>
      </c>
      <c r="G639" t="s">
        <v>2103</v>
      </c>
      <c r="H639" t="s">
        <v>1543</v>
      </c>
      <c r="I639" t="str">
        <f>T("0966612405")</f>
        <v>0966612405</v>
      </c>
      <c r="J639" t="str">
        <f>T("0966612405")</f>
        <v>0966612405</v>
      </c>
      <c r="K639" t="s">
        <v>2477</v>
      </c>
    </row>
    <row r="640" spans="1:11">
      <c r="A640">
        <v>10036</v>
      </c>
      <c r="B640" t="s">
        <v>2478</v>
      </c>
      <c r="C640" t="s">
        <v>2479</v>
      </c>
      <c r="D640" t="str">
        <f>T("00055")</f>
        <v>00055</v>
      </c>
      <c r="E640" t="s">
        <v>2480</v>
      </c>
      <c r="F640" t="s">
        <v>19</v>
      </c>
      <c r="G640" t="s">
        <v>20</v>
      </c>
      <c r="H640" t="s">
        <v>21</v>
      </c>
      <c r="I640" t="str">
        <f>T("3279248801")</f>
        <v>3279248801</v>
      </c>
      <c r="J640" t="str">
        <f>T("")</f>
        <v/>
      </c>
      <c r="K640" t="s">
        <v>2481</v>
      </c>
    </row>
    <row r="641" spans="1:11">
      <c r="A641">
        <v>10037</v>
      </c>
      <c r="B641" t="s">
        <v>2482</v>
      </c>
      <c r="C641" t="s">
        <v>2483</v>
      </c>
      <c r="D641" t="str">
        <f>T("64026")</f>
        <v>64026</v>
      </c>
      <c r="E641" t="s">
        <v>2484</v>
      </c>
      <c r="F641" t="s">
        <v>1829</v>
      </c>
      <c r="G641" t="s">
        <v>1787</v>
      </c>
      <c r="H641" t="s">
        <v>21</v>
      </c>
      <c r="I641" t="str">
        <f>T("0858930450")</f>
        <v>0858930450</v>
      </c>
      <c r="J641" t="str">
        <f>T("0858930450")</f>
        <v>0858930450</v>
      </c>
      <c r="K641" t="s">
        <v>2485</v>
      </c>
    </row>
    <row r="642" spans="1:11">
      <c r="A642">
        <v>10038</v>
      </c>
      <c r="B642" t="s">
        <v>2486</v>
      </c>
      <c r="C642" t="s">
        <v>2487</v>
      </c>
      <c r="D642" t="str">
        <f>T("09056")</f>
        <v>09056</v>
      </c>
      <c r="E642" t="s">
        <v>2488</v>
      </c>
      <c r="F642" t="s">
        <v>2266</v>
      </c>
      <c r="G642" t="s">
        <v>2253</v>
      </c>
      <c r="H642" t="s">
        <v>1543</v>
      </c>
      <c r="I642" t="str">
        <f>T("0782802120")</f>
        <v>0782802120</v>
      </c>
      <c r="J642" t="str">
        <f>T("0782802120")</f>
        <v>0782802120</v>
      </c>
      <c r="K642" t="s">
        <v>2489</v>
      </c>
    </row>
    <row r="643" spans="1:11">
      <c r="A643">
        <v>10039</v>
      </c>
      <c r="B643" t="s">
        <v>2490</v>
      </c>
      <c r="C643" t="s">
        <v>2491</v>
      </c>
      <c r="D643" t="str">
        <f>T("53021")</f>
        <v>53021</v>
      </c>
      <c r="E643" t="s">
        <v>2492</v>
      </c>
      <c r="F643" t="s">
        <v>63</v>
      </c>
      <c r="G643" t="s">
        <v>1222</v>
      </c>
      <c r="H643" t="s">
        <v>21</v>
      </c>
      <c r="I643" t="str">
        <f>T("0577778032")</f>
        <v>0577778032</v>
      </c>
      <c r="J643" t="str">
        <f>T("0577778032")</f>
        <v>0577778032</v>
      </c>
      <c r="K643" t="s">
        <v>2493</v>
      </c>
    </row>
    <row r="644" spans="1:11">
      <c r="A644">
        <v>10041</v>
      </c>
      <c r="B644" t="s">
        <v>2494</v>
      </c>
      <c r="C644" t="s">
        <v>2495</v>
      </c>
      <c r="D644" t="str">
        <f>T("09040")</f>
        <v>09040</v>
      </c>
      <c r="E644" t="s">
        <v>2496</v>
      </c>
      <c r="F644" t="s">
        <v>2266</v>
      </c>
      <c r="G644" t="s">
        <v>2253</v>
      </c>
      <c r="H644" t="s">
        <v>1543</v>
      </c>
      <c r="I644" t="str">
        <f>T("0709808979")</f>
        <v>0709808979</v>
      </c>
      <c r="J644" t="str">
        <f>T("0709808979")</f>
        <v>0709808979</v>
      </c>
      <c r="K644" t="s">
        <v>2497</v>
      </c>
    </row>
    <row r="645" spans="1:11">
      <c r="A645">
        <v>10046</v>
      </c>
      <c r="B645" t="s">
        <v>2498</v>
      </c>
      <c r="C645" t="s">
        <v>2499</v>
      </c>
      <c r="D645" t="str">
        <f>T("20010")</f>
        <v>20010</v>
      </c>
      <c r="E645" t="s">
        <v>2500</v>
      </c>
      <c r="F645" t="s">
        <v>361</v>
      </c>
      <c r="G645" t="s">
        <v>217</v>
      </c>
      <c r="H645" t="s">
        <v>16</v>
      </c>
      <c r="I645" t="str">
        <f>T("029362020")</f>
        <v>029362020</v>
      </c>
      <c r="J645" t="str">
        <f>T("0299762277")</f>
        <v>0299762277</v>
      </c>
      <c r="K645" t="s">
        <v>2501</v>
      </c>
    </row>
    <row r="646" spans="1:11">
      <c r="A646">
        <v>10047</v>
      </c>
      <c r="B646" t="s">
        <v>2502</v>
      </c>
      <c r="C646" t="s">
        <v>2503</v>
      </c>
      <c r="D646" t="str">
        <f>T("37138")</f>
        <v>37138</v>
      </c>
      <c r="E646" t="s">
        <v>752</v>
      </c>
      <c r="F646" t="s">
        <v>744</v>
      </c>
      <c r="G646" t="s">
        <v>594</v>
      </c>
      <c r="H646" t="s">
        <v>16</v>
      </c>
      <c r="I646" t="str">
        <f>T("0458303316")</f>
        <v>0458303316</v>
      </c>
      <c r="J646" t="str">
        <f>T("0458389388")</f>
        <v>0458389388</v>
      </c>
      <c r="K646" t="s">
        <v>2504</v>
      </c>
    </row>
    <row r="647" spans="1:11">
      <c r="A647">
        <v>10048</v>
      </c>
      <c r="B647" t="s">
        <v>2505</v>
      </c>
      <c r="C647" t="s">
        <v>638</v>
      </c>
      <c r="D647" t="str">
        <f>T("06063")</f>
        <v>06063</v>
      </c>
      <c r="E647" t="s">
        <v>2506</v>
      </c>
      <c r="F647" t="s">
        <v>1402</v>
      </c>
      <c r="G647" t="s">
        <v>1403</v>
      </c>
      <c r="H647" t="s">
        <v>21</v>
      </c>
      <c r="I647" t="str">
        <f>T("075841323")</f>
        <v>075841323</v>
      </c>
      <c r="J647" t="str">
        <f>T("075841323")</f>
        <v>075841323</v>
      </c>
      <c r="K647" t="s">
        <v>2507</v>
      </c>
    </row>
    <row r="648" spans="1:11">
      <c r="A648">
        <v>10049</v>
      </c>
      <c r="B648" t="s">
        <v>2508</v>
      </c>
      <c r="C648" t="s">
        <v>2509</v>
      </c>
      <c r="D648" t="str">
        <f>T("71043")</f>
        <v>71043</v>
      </c>
      <c r="E648" t="s">
        <v>2510</v>
      </c>
      <c r="F648" t="s">
        <v>2046</v>
      </c>
      <c r="G648" t="s">
        <v>1999</v>
      </c>
      <c r="H648" t="s">
        <v>1543</v>
      </c>
      <c r="I648" t="str">
        <f>T("0884661311")</f>
        <v>0884661311</v>
      </c>
      <c r="J648" t="str">
        <f>T("0884661311")</f>
        <v>0884661311</v>
      </c>
      <c r="K648" t="s">
        <v>2511</v>
      </c>
    </row>
    <row r="649" spans="1:11">
      <c r="A649">
        <v>10050</v>
      </c>
      <c r="B649" t="s">
        <v>2512</v>
      </c>
      <c r="C649" t="s">
        <v>2513</v>
      </c>
      <c r="D649" t="str">
        <f>T("47838")</f>
        <v>47838</v>
      </c>
      <c r="E649" t="s">
        <v>2514</v>
      </c>
      <c r="F649" t="s">
        <v>1069</v>
      </c>
      <c r="G649" t="s">
        <v>937</v>
      </c>
      <c r="H649" t="s">
        <v>21</v>
      </c>
      <c r="I649" t="str">
        <f>T("0541600269")</f>
        <v>0541600269</v>
      </c>
      <c r="J649" t="str">
        <f>T("0541694034")</f>
        <v>0541694034</v>
      </c>
      <c r="K649" t="s">
        <v>2515</v>
      </c>
    </row>
    <row r="650" spans="1:11">
      <c r="A650">
        <v>10051</v>
      </c>
      <c r="B650" t="s">
        <v>2516</v>
      </c>
      <c r="C650" t="s">
        <v>2517</v>
      </c>
      <c r="D650" t="str">
        <f>T("52010")</f>
        <v>52010</v>
      </c>
      <c r="E650" t="s">
        <v>2518</v>
      </c>
      <c r="F650" t="s">
        <v>1221</v>
      </c>
      <c r="G650" t="s">
        <v>1222</v>
      </c>
      <c r="H650" t="s">
        <v>21</v>
      </c>
      <c r="I650" t="str">
        <f>T("0575420605")</f>
        <v>0575420605</v>
      </c>
      <c r="J650" t="str">
        <f>T("0575420605")</f>
        <v>0575420605</v>
      </c>
      <c r="K650" t="s">
        <v>2519</v>
      </c>
    </row>
    <row r="651" spans="1:11">
      <c r="A651">
        <v>10053</v>
      </c>
      <c r="B651" t="s">
        <v>2520</v>
      </c>
      <c r="C651" t="s">
        <v>2521</v>
      </c>
      <c r="D651" t="str">
        <f>T("30173")</f>
        <v>30173</v>
      </c>
      <c r="E651" t="s">
        <v>2522</v>
      </c>
      <c r="F651" t="s">
        <v>704</v>
      </c>
      <c r="G651" t="s">
        <v>594</v>
      </c>
      <c r="H651" t="s">
        <v>21</v>
      </c>
      <c r="I651" t="str">
        <f>T("041631491")</f>
        <v>041631491</v>
      </c>
      <c r="J651" t="str">
        <f>T("041631491")</f>
        <v>041631491</v>
      </c>
      <c r="K651" t="s">
        <v>2523</v>
      </c>
    </row>
    <row r="652" spans="1:11">
      <c r="A652">
        <v>10057</v>
      </c>
      <c r="B652" t="s">
        <v>2524</v>
      </c>
      <c r="C652" t="s">
        <v>2525</v>
      </c>
      <c r="D652" t="str">
        <f>T("33030")</f>
        <v>33030</v>
      </c>
      <c r="E652" t="s">
        <v>2526</v>
      </c>
      <c r="F652" t="s">
        <v>846</v>
      </c>
      <c r="G652" t="s">
        <v>826</v>
      </c>
      <c r="H652" t="s">
        <v>21</v>
      </c>
      <c r="I652" t="str">
        <f>T("0432958996")</f>
        <v>0432958996</v>
      </c>
      <c r="J652" t="str">
        <f>T("0432958996")</f>
        <v>0432958996</v>
      </c>
      <c r="K652" t="s">
        <v>2527</v>
      </c>
    </row>
    <row r="653" spans="1:11">
      <c r="A653">
        <v>10059</v>
      </c>
      <c r="B653" t="s">
        <v>2528</v>
      </c>
      <c r="C653" t="s">
        <v>2529</v>
      </c>
      <c r="D653" t="str">
        <f>T("62032")</f>
        <v>62032</v>
      </c>
      <c r="E653" t="s">
        <v>2530</v>
      </c>
      <c r="F653" t="s">
        <v>1517</v>
      </c>
      <c r="G653" t="s">
        <v>1455</v>
      </c>
      <c r="H653" t="s">
        <v>21</v>
      </c>
      <c r="I653" t="str">
        <f>T("0733202558")</f>
        <v>0733202558</v>
      </c>
      <c r="J653" t="str">
        <f>T("0733201264")</f>
        <v>0733201264</v>
      </c>
      <c r="K653" t="s">
        <v>2531</v>
      </c>
    </row>
    <row r="654" spans="1:11">
      <c r="A654">
        <v>10060</v>
      </c>
      <c r="B654" t="s">
        <v>2532</v>
      </c>
      <c r="C654" t="s">
        <v>2533</v>
      </c>
      <c r="D654" t="str">
        <f>T("10059")</f>
        <v>10059</v>
      </c>
      <c r="E654" t="s">
        <v>2534</v>
      </c>
      <c r="F654" t="s">
        <v>14</v>
      </c>
      <c r="G654" t="s">
        <v>15</v>
      </c>
      <c r="H654" t="s">
        <v>16</v>
      </c>
      <c r="I654" t="str">
        <f>T("012232096")</f>
        <v>012232096</v>
      </c>
      <c r="J654" t="str">
        <f>T("0122623816")</f>
        <v>0122623816</v>
      </c>
      <c r="K654" t="s">
        <v>2535</v>
      </c>
    </row>
    <row r="655" spans="1:11">
      <c r="A655">
        <v>10062</v>
      </c>
      <c r="B655" t="s">
        <v>2536</v>
      </c>
      <c r="C655" t="s">
        <v>2537</v>
      </c>
      <c r="D655" t="str">
        <f>T("20081")</f>
        <v>20081</v>
      </c>
      <c r="E655" t="s">
        <v>2538</v>
      </c>
      <c r="F655" t="s">
        <v>361</v>
      </c>
      <c r="G655" t="s">
        <v>217</v>
      </c>
      <c r="H655" t="s">
        <v>16</v>
      </c>
      <c r="I655" t="str">
        <f>T("0294967072")</f>
        <v>0294967072</v>
      </c>
      <c r="J655" t="str">
        <f>T("0294696434")</f>
        <v>0294696434</v>
      </c>
      <c r="K655" t="s">
        <v>2539</v>
      </c>
    </row>
    <row r="656" spans="1:11">
      <c r="A656">
        <v>10065</v>
      </c>
      <c r="B656" t="s">
        <v>547</v>
      </c>
      <c r="C656" t="s">
        <v>2540</v>
      </c>
      <c r="D656" t="str">
        <f>T("25018")</f>
        <v>25018</v>
      </c>
      <c r="E656" t="s">
        <v>2541</v>
      </c>
      <c r="F656" t="s">
        <v>530</v>
      </c>
      <c r="G656" t="s">
        <v>217</v>
      </c>
      <c r="H656" t="s">
        <v>16</v>
      </c>
      <c r="I656" t="str">
        <f>T("0309981401")</f>
        <v>0309981401</v>
      </c>
      <c r="J656" t="str">
        <f>T("0309962754")</f>
        <v>0309962754</v>
      </c>
      <c r="K656" t="s">
        <v>2542</v>
      </c>
    </row>
    <row r="657" spans="1:11">
      <c r="A657">
        <v>10067</v>
      </c>
      <c r="B657" t="s">
        <v>2543</v>
      </c>
      <c r="C657" t="s">
        <v>2544</v>
      </c>
      <c r="D657" t="str">
        <f>T("90024")</f>
        <v>90024</v>
      </c>
      <c r="E657" t="s">
        <v>2545</v>
      </c>
      <c r="F657" t="s">
        <v>2145</v>
      </c>
      <c r="G657" t="s">
        <v>2140</v>
      </c>
      <c r="H657" t="s">
        <v>1543</v>
      </c>
      <c r="I657" t="str">
        <f>T("0921644343")</f>
        <v>0921644343</v>
      </c>
      <c r="J657" t="str">
        <f>T("0921644343")</f>
        <v>0921644343</v>
      </c>
      <c r="K657" t="s">
        <v>2546</v>
      </c>
    </row>
    <row r="658" spans="1:11">
      <c r="A658">
        <v>10068</v>
      </c>
      <c r="B658" t="s">
        <v>2547</v>
      </c>
      <c r="C658" t="s">
        <v>2548</v>
      </c>
      <c r="D658" t="str">
        <f>T("25068")</f>
        <v>25068</v>
      </c>
      <c r="E658" t="s">
        <v>2549</v>
      </c>
      <c r="F658" t="s">
        <v>530</v>
      </c>
      <c r="G658" t="s">
        <v>217</v>
      </c>
      <c r="H658" t="s">
        <v>16</v>
      </c>
      <c r="I658" t="str">
        <f>T("030802190")</f>
        <v>030802190</v>
      </c>
      <c r="J658" t="str">
        <f>T("0308906581")</f>
        <v>0308906581</v>
      </c>
      <c r="K658" t="s">
        <v>2550</v>
      </c>
    </row>
    <row r="659" spans="1:11">
      <c r="A659">
        <v>10069</v>
      </c>
      <c r="B659" t="s">
        <v>2551</v>
      </c>
      <c r="C659" t="s">
        <v>2552</v>
      </c>
      <c r="D659" t="str">
        <f>T("20094")</f>
        <v>20094</v>
      </c>
      <c r="E659" t="s">
        <v>2553</v>
      </c>
      <c r="F659" t="s">
        <v>361</v>
      </c>
      <c r="G659" t="s">
        <v>217</v>
      </c>
      <c r="H659" t="s">
        <v>16</v>
      </c>
      <c r="I659" t="str">
        <f>T("024472212")</f>
        <v>024472212</v>
      </c>
      <c r="J659" t="str">
        <f>T("024472206")</f>
        <v>024472206</v>
      </c>
      <c r="K659" t="s">
        <v>2554</v>
      </c>
    </row>
    <row r="660" spans="1:11">
      <c r="A660">
        <v>10072</v>
      </c>
      <c r="B660" t="s">
        <v>2555</v>
      </c>
      <c r="C660" t="s">
        <v>2556</v>
      </c>
      <c r="D660" t="str">
        <f>T("95046")</f>
        <v>95046</v>
      </c>
      <c r="E660" t="s">
        <v>2557</v>
      </c>
      <c r="F660" t="s">
        <v>2228</v>
      </c>
      <c r="G660" t="s">
        <v>2140</v>
      </c>
      <c r="H660" t="s">
        <v>1543</v>
      </c>
      <c r="I660" t="str">
        <f>T("0957953838")</f>
        <v>0957953838</v>
      </c>
      <c r="J660" t="str">
        <f>T("0957953838")</f>
        <v>0957953838</v>
      </c>
      <c r="K660" t="s">
        <v>2558</v>
      </c>
    </row>
    <row r="661" spans="1:11">
      <c r="A661">
        <v>10073</v>
      </c>
      <c r="B661" t="s">
        <v>2559</v>
      </c>
      <c r="C661" t="s">
        <v>2560</v>
      </c>
      <c r="D661" t="str">
        <f>T("95047")</f>
        <v>95047</v>
      </c>
      <c r="E661" t="s">
        <v>2561</v>
      </c>
      <c r="F661" t="s">
        <v>2228</v>
      </c>
      <c r="G661" t="s">
        <v>2140</v>
      </c>
      <c r="H661" t="s">
        <v>1543</v>
      </c>
      <c r="I661" t="str">
        <f>T("095856762")</f>
        <v>095856762</v>
      </c>
      <c r="J661" t="str">
        <f>T("095856762")</f>
        <v>095856762</v>
      </c>
      <c r="K661" t="s">
        <v>2562</v>
      </c>
    </row>
    <row r="662" spans="1:11">
      <c r="A662">
        <v>10075</v>
      </c>
      <c r="B662" t="s">
        <v>2563</v>
      </c>
      <c r="C662" t="s">
        <v>2564</v>
      </c>
      <c r="D662" t="str">
        <f>T("73021")</f>
        <v>73021</v>
      </c>
      <c r="E662" t="s">
        <v>2565</v>
      </c>
      <c r="F662" t="s">
        <v>2059</v>
      </c>
      <c r="G662" t="s">
        <v>1999</v>
      </c>
      <c r="H662" t="s">
        <v>1543</v>
      </c>
      <c r="I662" t="str">
        <f>T("0832872323")</f>
        <v>0832872323</v>
      </c>
      <c r="J662" t="str">
        <f>T("0832874077")</f>
        <v>0832874077</v>
      </c>
      <c r="K662" t="s">
        <v>2566</v>
      </c>
    </row>
    <row r="663" spans="1:11">
      <c r="A663">
        <v>10076</v>
      </c>
      <c r="B663" t="s">
        <v>2567</v>
      </c>
      <c r="C663" t="s">
        <v>2568</v>
      </c>
      <c r="D663" t="str">
        <f>T("20020")</f>
        <v>20020</v>
      </c>
      <c r="E663" t="s">
        <v>2569</v>
      </c>
      <c r="F663" t="s">
        <v>361</v>
      </c>
      <c r="G663" t="s">
        <v>217</v>
      </c>
      <c r="H663" t="s">
        <v>16</v>
      </c>
      <c r="I663" t="str">
        <f>T("0331568197")</f>
        <v>0331568197</v>
      </c>
      <c r="J663" t="str">
        <f>T("0331569180")</f>
        <v>0331569180</v>
      </c>
      <c r="K663" t="s">
        <v>2570</v>
      </c>
    </row>
    <row r="664" spans="1:11">
      <c r="A664">
        <v>10077</v>
      </c>
      <c r="B664" t="s">
        <v>2571</v>
      </c>
      <c r="C664" t="s">
        <v>2572</v>
      </c>
      <c r="D664" t="str">
        <f>T("82032")</f>
        <v>82032</v>
      </c>
      <c r="E664" t="s">
        <v>2573</v>
      </c>
      <c r="F664" t="s">
        <v>1985</v>
      </c>
      <c r="G664" t="s">
        <v>1858</v>
      </c>
      <c r="H664" t="s">
        <v>1543</v>
      </c>
      <c r="I664" t="str">
        <f>T("0824861205")</f>
        <v>0824861205</v>
      </c>
      <c r="J664" t="str">
        <f>T("0824816800")</f>
        <v>0824816800</v>
      </c>
      <c r="K664" t="s">
        <v>2574</v>
      </c>
    </row>
    <row r="665" spans="1:11">
      <c r="A665">
        <v>10081</v>
      </c>
      <c r="B665" t="s">
        <v>2575</v>
      </c>
      <c r="C665" t="s">
        <v>2576</v>
      </c>
      <c r="D665" t="str">
        <f>T("64020")</f>
        <v>64020</v>
      </c>
      <c r="E665" t="s">
        <v>2577</v>
      </c>
      <c r="F665" t="s">
        <v>1829</v>
      </c>
      <c r="G665" t="s">
        <v>1787</v>
      </c>
      <c r="H665" t="s">
        <v>21</v>
      </c>
      <c r="I665" t="str">
        <f>T("086157240")</f>
        <v>086157240</v>
      </c>
      <c r="J665" t="str">
        <f>T("0861285590")</f>
        <v>0861285590</v>
      </c>
      <c r="K665" t="s">
        <v>2578</v>
      </c>
    </row>
    <row r="666" spans="1:11">
      <c r="A666">
        <v>10083</v>
      </c>
      <c r="B666" t="s">
        <v>2579</v>
      </c>
      <c r="C666" t="s">
        <v>2580</v>
      </c>
      <c r="D666" t="str">
        <f>T("51016")</f>
        <v>51016</v>
      </c>
      <c r="E666" t="s">
        <v>2581</v>
      </c>
      <c r="F666" t="s">
        <v>1382</v>
      </c>
      <c r="G666" t="s">
        <v>1222</v>
      </c>
      <c r="H666" t="s">
        <v>21</v>
      </c>
      <c r="I666" t="str">
        <f>T("0572772163")</f>
        <v>0572772163</v>
      </c>
      <c r="J666" t="str">
        <f>T("0572901513")</f>
        <v>0572901513</v>
      </c>
      <c r="K666" t="s">
        <v>2582</v>
      </c>
    </row>
    <row r="667" spans="1:11">
      <c r="A667">
        <v>10084</v>
      </c>
      <c r="B667" t="s">
        <v>2583</v>
      </c>
      <c r="C667" t="s">
        <v>2584</v>
      </c>
      <c r="D667" t="str">
        <f>T("18039")</f>
        <v>18039</v>
      </c>
      <c r="E667" t="s">
        <v>2585</v>
      </c>
      <c r="F667" t="s">
        <v>914</v>
      </c>
      <c r="G667" t="s">
        <v>890</v>
      </c>
      <c r="H667" t="s">
        <v>16</v>
      </c>
      <c r="I667" t="str">
        <f>T("0184231594")</f>
        <v>0184231594</v>
      </c>
      <c r="J667" t="str">
        <f>T("0184231594")</f>
        <v>0184231594</v>
      </c>
      <c r="K667" t="s">
        <v>2586</v>
      </c>
    </row>
    <row r="668" spans="1:11">
      <c r="A668">
        <v>10085</v>
      </c>
      <c r="B668" t="s">
        <v>2587</v>
      </c>
      <c r="C668" t="s">
        <v>2588</v>
      </c>
      <c r="D668" t="str">
        <f>T("80053")</f>
        <v>80053</v>
      </c>
      <c r="E668" t="s">
        <v>2589</v>
      </c>
      <c r="F668" t="s">
        <v>1906</v>
      </c>
      <c r="G668" t="s">
        <v>1858</v>
      </c>
      <c r="H668" t="s">
        <v>1543</v>
      </c>
      <c r="I668" t="str">
        <f>T("0818705155")</f>
        <v>0818705155</v>
      </c>
      <c r="J668" t="str">
        <f>T("0818717062")</f>
        <v>0818717062</v>
      </c>
      <c r="K668" t="s">
        <v>2590</v>
      </c>
    </row>
    <row r="669" spans="1:11">
      <c r="A669">
        <v>10086</v>
      </c>
      <c r="B669" t="s">
        <v>2591</v>
      </c>
      <c r="C669" t="s">
        <v>2592</v>
      </c>
      <c r="D669" t="str">
        <f>T("25049")</f>
        <v>25049</v>
      </c>
      <c r="E669" t="s">
        <v>2593</v>
      </c>
      <c r="F669" t="s">
        <v>530</v>
      </c>
      <c r="G669" t="s">
        <v>217</v>
      </c>
      <c r="H669" t="s">
        <v>16</v>
      </c>
      <c r="I669" t="str">
        <f>T("0309818681")</f>
        <v>0309818681</v>
      </c>
      <c r="J669" t="str">
        <f>T("")</f>
        <v/>
      </c>
      <c r="K669" t="s">
        <v>2594</v>
      </c>
    </row>
    <row r="670" spans="1:11">
      <c r="A670">
        <v>10087</v>
      </c>
      <c r="B670" t="s">
        <v>2595</v>
      </c>
      <c r="C670" t="s">
        <v>2596</v>
      </c>
      <c r="D670" t="str">
        <f>T("90018")</f>
        <v>90018</v>
      </c>
      <c r="E670" t="s">
        <v>2597</v>
      </c>
      <c r="F670" t="s">
        <v>2145</v>
      </c>
      <c r="G670" t="s">
        <v>2140</v>
      </c>
      <c r="H670" t="s">
        <v>1543</v>
      </c>
      <c r="I670" t="str">
        <f>T("0918111037")</f>
        <v>0918111037</v>
      </c>
      <c r="J670" t="str">
        <f>T("")</f>
        <v/>
      </c>
      <c r="K670" t="s">
        <v>2598</v>
      </c>
    </row>
    <row r="671" spans="1:11">
      <c r="A671">
        <v>10088</v>
      </c>
      <c r="B671" t="s">
        <v>2599</v>
      </c>
      <c r="C671" t="s">
        <v>2600</v>
      </c>
      <c r="D671" t="str">
        <f>T("50026")</f>
        <v>50026</v>
      </c>
      <c r="E671" t="s">
        <v>2601</v>
      </c>
      <c r="F671" t="s">
        <v>1242</v>
      </c>
      <c r="G671" t="s">
        <v>1222</v>
      </c>
      <c r="H671" t="s">
        <v>21</v>
      </c>
      <c r="I671" t="str">
        <f>T("0558228390")</f>
        <v>0558228390</v>
      </c>
      <c r="J671" t="str">
        <f>T("0553909045")</f>
        <v>0553909045</v>
      </c>
      <c r="K671" t="s">
        <v>2602</v>
      </c>
    </row>
    <row r="672" spans="1:11">
      <c r="A672">
        <v>10089</v>
      </c>
      <c r="B672" t="s">
        <v>2603</v>
      </c>
      <c r="C672" t="s">
        <v>2604</v>
      </c>
      <c r="D672" t="str">
        <f>T("80011")</f>
        <v>80011</v>
      </c>
      <c r="E672" t="s">
        <v>2605</v>
      </c>
      <c r="F672" t="s">
        <v>1906</v>
      </c>
      <c r="G672" t="s">
        <v>1858</v>
      </c>
      <c r="H672" t="s">
        <v>1543</v>
      </c>
      <c r="I672" t="str">
        <f>T("0815200566")</f>
        <v>0815200566</v>
      </c>
      <c r="J672" t="str">
        <f>T("0815200566")</f>
        <v>0815200566</v>
      </c>
      <c r="K672" t="s">
        <v>2606</v>
      </c>
    </row>
    <row r="673" spans="1:11">
      <c r="A673">
        <v>10091</v>
      </c>
      <c r="B673" t="s">
        <v>2607</v>
      </c>
      <c r="C673" t="s">
        <v>2608</v>
      </c>
      <c r="D673" t="str">
        <f>T("88100")</f>
        <v>88100</v>
      </c>
      <c r="E673" t="s">
        <v>2609</v>
      </c>
      <c r="F673" t="s">
        <v>2102</v>
      </c>
      <c r="G673" t="s">
        <v>2103</v>
      </c>
      <c r="H673" t="s">
        <v>1543</v>
      </c>
      <c r="I673" t="str">
        <f>T("096161513")</f>
        <v>096161513</v>
      </c>
      <c r="J673" t="str">
        <f>T("096161513")</f>
        <v>096161513</v>
      </c>
      <c r="K673" t="s">
        <v>2610</v>
      </c>
    </row>
    <row r="674" spans="1:11">
      <c r="A674">
        <v>10094</v>
      </c>
      <c r="B674" t="s">
        <v>2611</v>
      </c>
      <c r="C674" t="s">
        <v>2612</v>
      </c>
      <c r="D674" t="str">
        <f>T("12051")</f>
        <v>12051</v>
      </c>
      <c r="E674" t="s">
        <v>211</v>
      </c>
      <c r="F674" t="s">
        <v>185</v>
      </c>
      <c r="G674" t="s">
        <v>15</v>
      </c>
      <c r="H674" t="s">
        <v>16</v>
      </c>
      <c r="I674" t="str">
        <f>T("0173470811")</f>
        <v>0173470811</v>
      </c>
      <c r="J674" t="str">
        <f>T("")</f>
        <v/>
      </c>
      <c r="K674" t="s">
        <v>2613</v>
      </c>
    </row>
    <row r="675" spans="1:11">
      <c r="A675">
        <v>10096</v>
      </c>
      <c r="B675" t="s">
        <v>2614</v>
      </c>
      <c r="C675" t="s">
        <v>2615</v>
      </c>
      <c r="D675" t="str">
        <f>T("36024")</f>
        <v>36024</v>
      </c>
      <c r="E675" t="s">
        <v>2616</v>
      </c>
      <c r="F675" t="s">
        <v>782</v>
      </c>
      <c r="G675" t="s">
        <v>594</v>
      </c>
      <c r="H675" t="s">
        <v>16</v>
      </c>
      <c r="I675" t="str">
        <f>T("0444639405")</f>
        <v>0444639405</v>
      </c>
      <c r="J675" t="str">
        <f>T("0444639405")</f>
        <v>0444639405</v>
      </c>
      <c r="K675" t="s">
        <v>2617</v>
      </c>
    </row>
    <row r="676" spans="1:11">
      <c r="A676">
        <v>10099</v>
      </c>
      <c r="B676" t="s">
        <v>2618</v>
      </c>
      <c r="C676" t="s">
        <v>2619</v>
      </c>
      <c r="D676" t="str">
        <f>T("73013")</f>
        <v>73013</v>
      </c>
      <c r="E676" t="s">
        <v>2620</v>
      </c>
      <c r="F676" t="s">
        <v>2059</v>
      </c>
      <c r="G676" t="s">
        <v>1999</v>
      </c>
      <c r="H676" t="s">
        <v>1543</v>
      </c>
      <c r="I676" t="str">
        <f>T("0836569950")</f>
        <v>0836569950</v>
      </c>
      <c r="J676" t="str">
        <f>T("")</f>
        <v/>
      </c>
      <c r="K676" t="s">
        <v>2621</v>
      </c>
    </row>
    <row r="677" spans="1:11">
      <c r="A677">
        <v>10101</v>
      </c>
      <c r="B677" t="s">
        <v>2622</v>
      </c>
      <c r="C677" t="s">
        <v>2623</v>
      </c>
      <c r="D677" t="str">
        <f>T("40129")</f>
        <v>40129</v>
      </c>
      <c r="E677" t="s">
        <v>973</v>
      </c>
      <c r="F677" t="s">
        <v>936</v>
      </c>
      <c r="G677" t="s">
        <v>937</v>
      </c>
      <c r="H677" t="s">
        <v>16</v>
      </c>
      <c r="I677" t="str">
        <f>T("051370439")</f>
        <v>051370439</v>
      </c>
      <c r="J677" t="str">
        <f>T("051374541")</f>
        <v>051374541</v>
      </c>
      <c r="K677" t="s">
        <v>2624</v>
      </c>
    </row>
    <row r="678" spans="1:11">
      <c r="A678">
        <v>10108</v>
      </c>
      <c r="B678" t="s">
        <v>2625</v>
      </c>
      <c r="C678" t="s">
        <v>2626</v>
      </c>
      <c r="D678" t="str">
        <f>T("20010")</f>
        <v>20010</v>
      </c>
      <c r="E678" t="s">
        <v>2627</v>
      </c>
      <c r="F678" t="s">
        <v>361</v>
      </c>
      <c r="G678" t="s">
        <v>217</v>
      </c>
      <c r="H678" t="s">
        <v>16</v>
      </c>
      <c r="I678" t="str">
        <f>T("0290362675")</f>
        <v>0290362675</v>
      </c>
      <c r="J678" t="str">
        <f>T("0290362675")</f>
        <v>0290362675</v>
      </c>
      <c r="K678" t="s">
        <v>2628</v>
      </c>
    </row>
    <row r="679" spans="1:11">
      <c r="A679">
        <v>10109</v>
      </c>
      <c r="B679" t="s">
        <v>2629</v>
      </c>
      <c r="C679" t="s">
        <v>2630</v>
      </c>
      <c r="D679" t="str">
        <f>T("24047")</f>
        <v>24047</v>
      </c>
      <c r="E679" t="s">
        <v>2631</v>
      </c>
      <c r="F679" t="s">
        <v>216</v>
      </c>
      <c r="G679" t="s">
        <v>217</v>
      </c>
      <c r="H679" t="s">
        <v>16</v>
      </c>
      <c r="I679" t="str">
        <f>T("036348074")</f>
        <v>036348074</v>
      </c>
      <c r="J679" t="str">
        <f>T("0363303526")</f>
        <v>0363303526</v>
      </c>
      <c r="K679" t="s">
        <v>2632</v>
      </c>
    </row>
    <row r="680" spans="1:11">
      <c r="A680">
        <v>10111</v>
      </c>
      <c r="B680" t="s">
        <v>2633</v>
      </c>
      <c r="C680" t="s">
        <v>2634</v>
      </c>
      <c r="D680" t="str">
        <f>T("94015")</f>
        <v>94015</v>
      </c>
      <c r="E680" t="s">
        <v>2635</v>
      </c>
      <c r="F680" t="s">
        <v>2400</v>
      </c>
      <c r="G680" t="s">
        <v>2140</v>
      </c>
      <c r="H680" t="s">
        <v>1543</v>
      </c>
      <c r="I680" t="str">
        <f>T("0935683124")</f>
        <v>0935683124</v>
      </c>
      <c r="J680" t="str">
        <f>T("0935683124")</f>
        <v>0935683124</v>
      </c>
      <c r="K680" t="s">
        <v>2636</v>
      </c>
    </row>
    <row r="681" spans="1:11">
      <c r="A681">
        <v>10113</v>
      </c>
      <c r="B681" t="s">
        <v>2637</v>
      </c>
      <c r="C681" t="s">
        <v>2638</v>
      </c>
      <c r="D681" t="str">
        <f>T("36075")</f>
        <v>36075</v>
      </c>
      <c r="E681" t="s">
        <v>2639</v>
      </c>
      <c r="F681" t="s">
        <v>782</v>
      </c>
      <c r="G681" t="s">
        <v>594</v>
      </c>
      <c r="H681" t="s">
        <v>21</v>
      </c>
      <c r="I681" t="str">
        <f>T("0444493190")</f>
        <v>0444493190</v>
      </c>
      <c r="J681" t="str">
        <f>T("0444493190")</f>
        <v>0444493190</v>
      </c>
      <c r="K681" t="s">
        <v>2640</v>
      </c>
    </row>
    <row r="682" spans="1:11">
      <c r="A682">
        <v>10114</v>
      </c>
      <c r="B682" t="s">
        <v>2641</v>
      </c>
      <c r="C682" t="s">
        <v>2642</v>
      </c>
      <c r="D682" t="str">
        <f>T("98076")</f>
        <v>98076</v>
      </c>
      <c r="E682" t="s">
        <v>2643</v>
      </c>
      <c r="F682" t="s">
        <v>2184</v>
      </c>
      <c r="G682" t="s">
        <v>2140</v>
      </c>
      <c r="H682" t="s">
        <v>1543</v>
      </c>
      <c r="I682" t="str">
        <f>T("094122708")</f>
        <v>094122708</v>
      </c>
      <c r="J682" t="str">
        <f>T("0941904053")</f>
        <v>0941904053</v>
      </c>
      <c r="K682" t="s">
        <v>2644</v>
      </c>
    </row>
    <row r="683" spans="1:11">
      <c r="A683">
        <v>10115</v>
      </c>
      <c r="B683" t="s">
        <v>2645</v>
      </c>
      <c r="C683" t="s">
        <v>2646</v>
      </c>
      <c r="D683" t="str">
        <f>T("33085")</f>
        <v>33085</v>
      </c>
      <c r="E683" t="s">
        <v>2358</v>
      </c>
      <c r="F683" t="s">
        <v>841</v>
      </c>
      <c r="G683" t="s">
        <v>826</v>
      </c>
      <c r="H683" t="s">
        <v>21</v>
      </c>
      <c r="I683" t="str">
        <f>T("0427701699")</f>
        <v>0427701699</v>
      </c>
      <c r="J683" t="str">
        <f>T("0427701699")</f>
        <v>0427701699</v>
      </c>
      <c r="K683" t="s">
        <v>2647</v>
      </c>
    </row>
    <row r="684" spans="1:11">
      <c r="A684">
        <v>10116</v>
      </c>
      <c r="B684" t="s">
        <v>2648</v>
      </c>
      <c r="C684" t="s">
        <v>2649</v>
      </c>
      <c r="D684" t="str">
        <f>T("04016")</f>
        <v>04016</v>
      </c>
      <c r="E684" t="s">
        <v>2650</v>
      </c>
      <c r="F684" t="s">
        <v>1560</v>
      </c>
      <c r="G684" t="s">
        <v>20</v>
      </c>
      <c r="H684" t="s">
        <v>1543</v>
      </c>
      <c r="I684" t="str">
        <f>T("07731768163")</f>
        <v>07731768163</v>
      </c>
      <c r="J684" t="str">
        <f>T("07731768163")</f>
        <v>07731768163</v>
      </c>
      <c r="K684" t="s">
        <v>2651</v>
      </c>
    </row>
    <row r="685" spans="1:11">
      <c r="A685">
        <v>10122</v>
      </c>
      <c r="B685" t="s">
        <v>2652</v>
      </c>
      <c r="C685" t="s">
        <v>2653</v>
      </c>
      <c r="D685" t="str">
        <f>T("45021")</f>
        <v>45021</v>
      </c>
      <c r="E685" t="s">
        <v>2654</v>
      </c>
      <c r="F685" t="s">
        <v>648</v>
      </c>
      <c r="G685" t="s">
        <v>594</v>
      </c>
      <c r="H685" t="s">
        <v>21</v>
      </c>
      <c r="I685" t="str">
        <f>T("0425591080")</f>
        <v>0425591080</v>
      </c>
      <c r="J685" t="str">
        <f>T("0425591080")</f>
        <v>0425591080</v>
      </c>
      <c r="K685" t="s">
        <v>2655</v>
      </c>
    </row>
    <row r="686" spans="1:11">
      <c r="A686">
        <v>10123</v>
      </c>
      <c r="B686" t="s">
        <v>2656</v>
      </c>
      <c r="C686" t="s">
        <v>2657</v>
      </c>
      <c r="D686" t="str">
        <f>T("35010")</f>
        <v>35010</v>
      </c>
      <c r="E686" t="s">
        <v>2658</v>
      </c>
      <c r="F686" t="s">
        <v>606</v>
      </c>
      <c r="G686" t="s">
        <v>594</v>
      </c>
      <c r="H686" t="s">
        <v>21</v>
      </c>
      <c r="I686" t="str">
        <f>T("0499386664")</f>
        <v>0499386664</v>
      </c>
      <c r="J686" t="str">
        <f>T("0499386664")</f>
        <v>0499386664</v>
      </c>
      <c r="K686" t="s">
        <v>2659</v>
      </c>
    </row>
    <row r="687" spans="1:11">
      <c r="A687">
        <v>10126</v>
      </c>
      <c r="B687" t="s">
        <v>2370</v>
      </c>
      <c r="C687" t="s">
        <v>2660</v>
      </c>
      <c r="D687" t="str">
        <f>T("61122")</f>
        <v>61122</v>
      </c>
      <c r="E687" t="s">
        <v>2372</v>
      </c>
      <c r="F687" t="s">
        <v>2661</v>
      </c>
      <c r="G687" t="s">
        <v>1455</v>
      </c>
      <c r="H687" t="s">
        <v>21</v>
      </c>
      <c r="I687" t="str">
        <f>T("0721583552")</f>
        <v>0721583552</v>
      </c>
      <c r="J687" t="str">
        <f>T("0721583553")</f>
        <v>0721583553</v>
      </c>
      <c r="K687" t="s">
        <v>2662</v>
      </c>
    </row>
    <row r="688" spans="1:11">
      <c r="A688">
        <v>10127</v>
      </c>
      <c r="B688" t="s">
        <v>2663</v>
      </c>
      <c r="C688" t="s">
        <v>2664</v>
      </c>
      <c r="D688" t="str">
        <f>T("95030")</f>
        <v>95030</v>
      </c>
      <c r="E688" t="s">
        <v>2665</v>
      </c>
      <c r="F688" t="s">
        <v>2228</v>
      </c>
      <c r="G688" t="s">
        <v>2140</v>
      </c>
      <c r="H688" t="s">
        <v>1543</v>
      </c>
      <c r="I688" t="str">
        <f>T("0957272406")</f>
        <v>0957272406</v>
      </c>
      <c r="J688" t="str">
        <f>T("")</f>
        <v/>
      </c>
      <c r="K688" t="s">
        <v>2666</v>
      </c>
    </row>
    <row r="689" spans="1:11">
      <c r="A689">
        <v>10128</v>
      </c>
      <c r="B689" t="s">
        <v>2667</v>
      </c>
      <c r="C689" t="s">
        <v>2668</v>
      </c>
      <c r="D689" t="str">
        <f>T("24011")</f>
        <v>24011</v>
      </c>
      <c r="E689" t="s">
        <v>2669</v>
      </c>
      <c r="F689" t="s">
        <v>216</v>
      </c>
      <c r="G689" t="s">
        <v>217</v>
      </c>
      <c r="H689" t="s">
        <v>16</v>
      </c>
      <c r="I689" t="str">
        <f>T("035545456")</f>
        <v>035545456</v>
      </c>
      <c r="J689" t="str">
        <f>T("")</f>
        <v/>
      </c>
      <c r="K689" t="s">
        <v>2670</v>
      </c>
    </row>
    <row r="690" spans="1:11">
      <c r="A690">
        <v>10131</v>
      </c>
      <c r="B690" t="s">
        <v>2671</v>
      </c>
      <c r="C690" t="s">
        <v>2672</v>
      </c>
      <c r="D690" t="str">
        <f>T("54011")</f>
        <v>54011</v>
      </c>
      <c r="E690" t="s">
        <v>2673</v>
      </c>
      <c r="F690" t="s">
        <v>1345</v>
      </c>
      <c r="G690" t="s">
        <v>1222</v>
      </c>
      <c r="H690" t="s">
        <v>21</v>
      </c>
      <c r="I690" t="str">
        <f>T("0187423153")</f>
        <v>0187423153</v>
      </c>
      <c r="J690" t="str">
        <f>T("0187423153")</f>
        <v>0187423153</v>
      </c>
      <c r="K690" t="s">
        <v>2674</v>
      </c>
    </row>
    <row r="691" spans="1:11">
      <c r="A691">
        <v>10134</v>
      </c>
      <c r="B691" t="s">
        <v>2675</v>
      </c>
      <c r="C691" t="s">
        <v>2676</v>
      </c>
      <c r="D691" t="str">
        <f>T("20024")</f>
        <v>20024</v>
      </c>
      <c r="E691" t="s">
        <v>2677</v>
      </c>
      <c r="F691" t="s">
        <v>361</v>
      </c>
      <c r="G691" t="s">
        <v>217</v>
      </c>
      <c r="H691" t="s">
        <v>16</v>
      </c>
      <c r="I691" t="str">
        <f>T("3938966867")</f>
        <v>3938966867</v>
      </c>
      <c r="J691" t="str">
        <f>T("")</f>
        <v/>
      </c>
      <c r="K691" t="s">
        <v>2678</v>
      </c>
    </row>
    <row r="692" spans="1:11">
      <c r="A692">
        <v>10136</v>
      </c>
      <c r="B692" t="s">
        <v>2679</v>
      </c>
      <c r="C692" t="s">
        <v>2680</v>
      </c>
      <c r="D692" t="str">
        <f>T("87064")</f>
        <v>87064</v>
      </c>
      <c r="E692" t="s">
        <v>2681</v>
      </c>
      <c r="F692" t="s">
        <v>2113</v>
      </c>
      <c r="G692" t="s">
        <v>2103</v>
      </c>
      <c r="H692" t="s">
        <v>1543</v>
      </c>
      <c r="I692" t="str">
        <f>T("0983889640")</f>
        <v>0983889640</v>
      </c>
      <c r="J692" t="str">
        <f>T("0983200647")</f>
        <v>0983200647</v>
      </c>
      <c r="K692" t="s">
        <v>2682</v>
      </c>
    </row>
    <row r="693" spans="1:11">
      <c r="A693">
        <v>10138</v>
      </c>
      <c r="B693" t="s">
        <v>2683</v>
      </c>
      <c r="C693" t="s">
        <v>2684</v>
      </c>
      <c r="D693" t="str">
        <f>T("20871")</f>
        <v>20871</v>
      </c>
      <c r="E693" t="s">
        <v>2685</v>
      </c>
      <c r="F693" t="s">
        <v>356</v>
      </c>
      <c r="G693" t="s">
        <v>217</v>
      </c>
      <c r="H693" t="s">
        <v>16</v>
      </c>
      <c r="I693" t="str">
        <f>T("039666583")</f>
        <v>039666583</v>
      </c>
      <c r="J693" t="str">
        <f>T("0396917094")</f>
        <v>0396917094</v>
      </c>
      <c r="K693" t="s">
        <v>2686</v>
      </c>
    </row>
    <row r="694" spans="1:11">
      <c r="A694">
        <v>10142</v>
      </c>
      <c r="B694" t="s">
        <v>2687</v>
      </c>
      <c r="C694" t="s">
        <v>2688</v>
      </c>
      <c r="D694" t="str">
        <f>T("43013")</f>
        <v>43013</v>
      </c>
      <c r="E694" t="s">
        <v>2689</v>
      </c>
      <c r="F694" t="s">
        <v>1140</v>
      </c>
      <c r="G694" t="s">
        <v>937</v>
      </c>
      <c r="H694" t="s">
        <v>16</v>
      </c>
      <c r="I694" t="str">
        <f>T("0521863700")</f>
        <v>0521863700</v>
      </c>
      <c r="J694" t="str">
        <f>T("")</f>
        <v/>
      </c>
      <c r="K694" t="s">
        <v>2690</v>
      </c>
    </row>
    <row r="695" spans="1:11">
      <c r="A695">
        <v>10143</v>
      </c>
      <c r="B695" t="s">
        <v>2691</v>
      </c>
      <c r="C695" t="s">
        <v>2692</v>
      </c>
      <c r="D695" t="str">
        <f>T("80034")</f>
        <v>80034</v>
      </c>
      <c r="E695" t="s">
        <v>2693</v>
      </c>
      <c r="F695" t="s">
        <v>1906</v>
      </c>
      <c r="G695" t="s">
        <v>1858</v>
      </c>
      <c r="H695" t="s">
        <v>1543</v>
      </c>
      <c r="I695" t="str">
        <f>T("0818852708")</f>
        <v>0818852708</v>
      </c>
      <c r="J695" t="str">
        <f>T("0818852708")</f>
        <v>0818852708</v>
      </c>
      <c r="K695" t="s">
        <v>2694</v>
      </c>
    </row>
    <row r="696" spans="1:11">
      <c r="A696">
        <v>10144</v>
      </c>
      <c r="B696" t="s">
        <v>2695</v>
      </c>
      <c r="C696" t="s">
        <v>2696</v>
      </c>
      <c r="D696" t="str">
        <f>T("84013")</f>
        <v>84013</v>
      </c>
      <c r="E696" t="s">
        <v>2697</v>
      </c>
      <c r="F696" t="s">
        <v>1857</v>
      </c>
      <c r="G696" t="s">
        <v>1858</v>
      </c>
      <c r="H696" t="s">
        <v>1543</v>
      </c>
      <c r="I696" t="str">
        <f>T("089442926")</f>
        <v>089442926</v>
      </c>
      <c r="J696" t="str">
        <f>T("089442926")</f>
        <v>089442926</v>
      </c>
      <c r="K696" t="s">
        <v>2698</v>
      </c>
    </row>
    <row r="697" spans="1:11">
      <c r="A697">
        <v>10145</v>
      </c>
      <c r="B697" t="s">
        <v>2699</v>
      </c>
      <c r="C697" t="s">
        <v>2700</v>
      </c>
      <c r="D697" t="str">
        <f>T("52044")</f>
        <v>52044</v>
      </c>
      <c r="E697" t="s">
        <v>2701</v>
      </c>
      <c r="F697" t="s">
        <v>1221</v>
      </c>
      <c r="G697" t="s">
        <v>1222</v>
      </c>
      <c r="H697" t="s">
        <v>21</v>
      </c>
      <c r="I697" t="str">
        <f>T("057562759")</f>
        <v>057562759</v>
      </c>
      <c r="J697" t="str">
        <f>T("057562759")</f>
        <v>057562759</v>
      </c>
      <c r="K697" t="s">
        <v>2702</v>
      </c>
    </row>
    <row r="698" spans="1:11">
      <c r="A698">
        <v>10146</v>
      </c>
      <c r="B698" t="s">
        <v>2703</v>
      </c>
      <c r="C698" t="s">
        <v>2704</v>
      </c>
      <c r="D698" t="str">
        <f>T("96016")</f>
        <v>96016</v>
      </c>
      <c r="E698" t="s">
        <v>2705</v>
      </c>
      <c r="F698" t="s">
        <v>2168</v>
      </c>
      <c r="G698" t="s">
        <v>2140</v>
      </c>
      <c r="H698" t="s">
        <v>1543</v>
      </c>
      <c r="I698" t="str">
        <f>T("0957839153")</f>
        <v>0957839153</v>
      </c>
      <c r="J698" t="str">
        <f>T("0957831557")</f>
        <v>0957831557</v>
      </c>
      <c r="K698" t="s">
        <v>2706</v>
      </c>
    </row>
    <row r="699" spans="1:11">
      <c r="A699">
        <v>10148</v>
      </c>
      <c r="B699" t="s">
        <v>2707</v>
      </c>
      <c r="C699" t="s">
        <v>2708</v>
      </c>
      <c r="D699" t="str">
        <f>T("30022")</f>
        <v>30022</v>
      </c>
      <c r="E699" t="s">
        <v>2709</v>
      </c>
      <c r="F699" t="s">
        <v>704</v>
      </c>
      <c r="G699" t="s">
        <v>594</v>
      </c>
      <c r="H699" t="s">
        <v>21</v>
      </c>
      <c r="I699" t="str">
        <f>T("0421322990")</f>
        <v>0421322990</v>
      </c>
      <c r="J699" t="str">
        <f>T("0421322990")</f>
        <v>0421322990</v>
      </c>
      <c r="K699" t="s">
        <v>2710</v>
      </c>
    </row>
    <row r="700" spans="1:11">
      <c r="A700">
        <v>10149</v>
      </c>
      <c r="B700" t="s">
        <v>2641</v>
      </c>
      <c r="C700" t="s">
        <v>2711</v>
      </c>
      <c r="D700" t="str">
        <f>T("98071")</f>
        <v>98071</v>
      </c>
      <c r="E700" t="s">
        <v>2712</v>
      </c>
      <c r="F700" t="s">
        <v>2184</v>
      </c>
      <c r="G700" t="s">
        <v>2140</v>
      </c>
      <c r="H700" t="s">
        <v>1543</v>
      </c>
      <c r="I700" t="str">
        <f>T("094122708")</f>
        <v>094122708</v>
      </c>
      <c r="J700" t="str">
        <f>T("0941904053")</f>
        <v>0941904053</v>
      </c>
      <c r="K700" t="s">
        <v>2713</v>
      </c>
    </row>
    <row r="701" spans="1:11">
      <c r="A701">
        <v>10152</v>
      </c>
      <c r="B701" t="s">
        <v>2714</v>
      </c>
      <c r="C701" t="s">
        <v>2715</v>
      </c>
      <c r="D701" t="str">
        <f>T("90025")</f>
        <v>90025</v>
      </c>
      <c r="E701" t="s">
        <v>2716</v>
      </c>
      <c r="F701" t="s">
        <v>2145</v>
      </c>
      <c r="G701" t="s">
        <v>2140</v>
      </c>
      <c r="H701" t="s">
        <v>1543</v>
      </c>
      <c r="I701" t="str">
        <f>T("918211232")</f>
        <v>918211232</v>
      </c>
      <c r="J701" t="str">
        <f>T("")</f>
        <v/>
      </c>
      <c r="K701" t="s">
        <v>2717</v>
      </c>
    </row>
    <row r="702" spans="1:11">
      <c r="A702">
        <v>10154</v>
      </c>
      <c r="B702" t="s">
        <v>2718</v>
      </c>
      <c r="C702" t="s">
        <v>2719</v>
      </c>
      <c r="D702" t="str">
        <f>T("09010")</f>
        <v>09010</v>
      </c>
      <c r="E702" t="s">
        <v>2720</v>
      </c>
      <c r="F702" t="s">
        <v>2252</v>
      </c>
      <c r="G702" t="s">
        <v>2253</v>
      </c>
      <c r="H702" t="s">
        <v>1543</v>
      </c>
      <c r="I702" t="str">
        <f>T("0709209817")</f>
        <v>0709209817</v>
      </c>
      <c r="J702" t="str">
        <f>T("")</f>
        <v/>
      </c>
      <c r="K702" t="s">
        <v>2721</v>
      </c>
    </row>
    <row r="703" spans="1:11">
      <c r="A703">
        <v>10155</v>
      </c>
      <c r="B703" t="s">
        <v>2722</v>
      </c>
      <c r="C703" t="s">
        <v>2723</v>
      </c>
      <c r="D703" t="str">
        <f>T("95122")</f>
        <v>95122</v>
      </c>
      <c r="E703" t="s">
        <v>2244</v>
      </c>
      <c r="F703" t="s">
        <v>2228</v>
      </c>
      <c r="G703" t="s">
        <v>2140</v>
      </c>
      <c r="H703" t="s">
        <v>1543</v>
      </c>
      <c r="I703" t="str">
        <f>T("095202418")</f>
        <v>095202418</v>
      </c>
      <c r="J703" t="str">
        <f>T("")</f>
        <v/>
      </c>
      <c r="K703" t="s">
        <v>2724</v>
      </c>
    </row>
    <row r="704" spans="1:11">
      <c r="A704">
        <v>10156</v>
      </c>
      <c r="B704" t="s">
        <v>2725</v>
      </c>
      <c r="C704" t="s">
        <v>2726</v>
      </c>
      <c r="D704" t="str">
        <f>T("92020")</f>
        <v>92020</v>
      </c>
      <c r="E704" t="s">
        <v>2727</v>
      </c>
      <c r="F704" t="s">
        <v>2211</v>
      </c>
      <c r="G704" t="s">
        <v>2140</v>
      </c>
      <c r="H704" t="s">
        <v>1543</v>
      </c>
      <c r="I704" t="str">
        <f>T("0922968372")</f>
        <v>0922968372</v>
      </c>
      <c r="J704" t="str">
        <f>T("0922968372")</f>
        <v>0922968372</v>
      </c>
      <c r="K704" t="s">
        <v>2728</v>
      </c>
    </row>
    <row r="705" spans="1:11">
      <c r="A705">
        <v>10157</v>
      </c>
      <c r="B705" t="s">
        <v>2729</v>
      </c>
      <c r="C705" t="s">
        <v>2730</v>
      </c>
      <c r="D705" t="str">
        <f>T("25039")</f>
        <v>25039</v>
      </c>
      <c r="E705" t="s">
        <v>2731</v>
      </c>
      <c r="F705" t="s">
        <v>530</v>
      </c>
      <c r="G705" t="s">
        <v>217</v>
      </c>
      <c r="H705" t="s">
        <v>16</v>
      </c>
      <c r="I705" t="str">
        <f>T("0306863739")</f>
        <v>0306863739</v>
      </c>
      <c r="J705" t="str">
        <f>T("0306863739")</f>
        <v>0306863739</v>
      </c>
      <c r="K705" t="s">
        <v>2732</v>
      </c>
    </row>
    <row r="706" spans="1:11">
      <c r="A706">
        <v>10160</v>
      </c>
      <c r="B706" t="s">
        <v>2733</v>
      </c>
      <c r="C706" t="s">
        <v>2734</v>
      </c>
      <c r="D706" t="str">
        <f>T("46047")</f>
        <v>46047</v>
      </c>
      <c r="E706" t="s">
        <v>2735</v>
      </c>
      <c r="F706" t="s">
        <v>333</v>
      </c>
      <c r="G706" t="s">
        <v>217</v>
      </c>
      <c r="H706" t="s">
        <v>16</v>
      </c>
      <c r="I706" t="str">
        <f>T("0376399311")</f>
        <v>0376399311</v>
      </c>
      <c r="J706" t="str">
        <f>T("")</f>
        <v/>
      </c>
      <c r="K706" t="s">
        <v>2736</v>
      </c>
    </row>
    <row r="707" spans="1:11">
      <c r="A707">
        <v>10161</v>
      </c>
      <c r="B707" t="s">
        <v>2737</v>
      </c>
      <c r="C707" t="s">
        <v>2738</v>
      </c>
      <c r="D707" t="str">
        <f>T("84131")</f>
        <v>84131</v>
      </c>
      <c r="E707" t="s">
        <v>1874</v>
      </c>
      <c r="F707" t="s">
        <v>1857</v>
      </c>
      <c r="G707" t="s">
        <v>1858</v>
      </c>
      <c r="H707" t="s">
        <v>1543</v>
      </c>
      <c r="I707" t="str">
        <f>T("089756658")</f>
        <v>089756658</v>
      </c>
      <c r="J707" t="str">
        <f>T("089756658")</f>
        <v>089756658</v>
      </c>
      <c r="K707" t="s">
        <v>2739</v>
      </c>
    </row>
    <row r="708" spans="1:11">
      <c r="A708">
        <v>10162</v>
      </c>
      <c r="B708" t="s">
        <v>2740</v>
      </c>
      <c r="C708" t="s">
        <v>2741</v>
      </c>
      <c r="D708" t="str">
        <f>T("84078")</f>
        <v>84078</v>
      </c>
      <c r="E708" t="s">
        <v>1856</v>
      </c>
      <c r="F708" t="s">
        <v>1857</v>
      </c>
      <c r="G708" t="s">
        <v>1858</v>
      </c>
      <c r="H708" t="s">
        <v>1543</v>
      </c>
      <c r="I708" t="str">
        <f>T("0974718000")</f>
        <v>0974718000</v>
      </c>
      <c r="J708" t="str">
        <f>T("0974718000")</f>
        <v>0974718000</v>
      </c>
      <c r="K708" t="s">
        <v>2742</v>
      </c>
    </row>
    <row r="709" spans="1:11">
      <c r="A709">
        <v>10164</v>
      </c>
      <c r="B709" t="s">
        <v>2743</v>
      </c>
      <c r="C709" t="s">
        <v>2744</v>
      </c>
      <c r="D709" t="str">
        <f>T("95049")</f>
        <v>95049</v>
      </c>
      <c r="E709" t="s">
        <v>2745</v>
      </c>
      <c r="F709" t="s">
        <v>2228</v>
      </c>
      <c r="G709" t="s">
        <v>2140</v>
      </c>
      <c r="H709" t="s">
        <v>1543</v>
      </c>
      <c r="I709" t="str">
        <f>T("0933965647")</f>
        <v>0933965647</v>
      </c>
      <c r="J709" t="str">
        <f>T("0933965647")</f>
        <v>0933965647</v>
      </c>
      <c r="K709" t="s">
        <v>2746</v>
      </c>
    </row>
    <row r="710" spans="1:11">
      <c r="A710">
        <v>10165</v>
      </c>
      <c r="B710" t="s">
        <v>2747</v>
      </c>
      <c r="C710" t="s">
        <v>2748</v>
      </c>
      <c r="D710" t="str">
        <f>T("87067")</f>
        <v>87067</v>
      </c>
      <c r="E710" t="s">
        <v>2749</v>
      </c>
      <c r="F710" t="s">
        <v>2113</v>
      </c>
      <c r="G710" t="s">
        <v>2103</v>
      </c>
      <c r="H710" t="s">
        <v>1543</v>
      </c>
      <c r="I710" t="str">
        <f>T("0983290430")</f>
        <v>0983290430</v>
      </c>
      <c r="J710" t="str">
        <f>T("0983290430")</f>
        <v>0983290430</v>
      </c>
      <c r="K710" t="s">
        <v>2750</v>
      </c>
    </row>
    <row r="711" spans="1:11">
      <c r="A711">
        <v>10166</v>
      </c>
      <c r="B711" t="s">
        <v>2751</v>
      </c>
      <c r="C711" t="s">
        <v>2752</v>
      </c>
      <c r="D711" t="str">
        <f>T("80022")</f>
        <v>80022</v>
      </c>
      <c r="E711" t="s">
        <v>2753</v>
      </c>
      <c r="F711" t="s">
        <v>1906</v>
      </c>
      <c r="G711" t="s">
        <v>1858</v>
      </c>
      <c r="H711" t="s">
        <v>1543</v>
      </c>
      <c r="I711" t="str">
        <f>T("0817311553")</f>
        <v>0817311553</v>
      </c>
      <c r="J711" t="str">
        <f t="shared" ref="J711:J717" si="0">T("")</f>
        <v/>
      </c>
      <c r="K711" t="s">
        <v>2754</v>
      </c>
    </row>
    <row r="712" spans="1:11">
      <c r="A712">
        <v>10169</v>
      </c>
      <c r="B712" t="s">
        <v>2755</v>
      </c>
      <c r="C712" t="s">
        <v>2756</v>
      </c>
      <c r="D712" t="str">
        <f>T("80124")</f>
        <v>80124</v>
      </c>
      <c r="E712" t="s">
        <v>1914</v>
      </c>
      <c r="F712" t="s">
        <v>1906</v>
      </c>
      <c r="G712" t="s">
        <v>1858</v>
      </c>
      <c r="H712" t="s">
        <v>1543</v>
      </c>
      <c r="I712" t="str">
        <f>T("0816190173")</f>
        <v>0816190173</v>
      </c>
      <c r="J712" t="str">
        <f t="shared" si="0"/>
        <v/>
      </c>
      <c r="K712" t="s">
        <v>2757</v>
      </c>
    </row>
    <row r="713" spans="1:11">
      <c r="A713">
        <v>10170</v>
      </c>
      <c r="B713" t="s">
        <v>2758</v>
      </c>
      <c r="C713" t="s">
        <v>2759</v>
      </c>
      <c r="D713" t="str">
        <f>T("87036")</f>
        <v>87036</v>
      </c>
      <c r="E713" t="s">
        <v>2760</v>
      </c>
      <c r="F713" t="s">
        <v>2113</v>
      </c>
      <c r="G713" t="s">
        <v>2103</v>
      </c>
      <c r="H713" t="s">
        <v>1543</v>
      </c>
      <c r="I713" t="str">
        <f>T("3477656428")</f>
        <v>3477656428</v>
      </c>
      <c r="J713" t="str">
        <f t="shared" si="0"/>
        <v/>
      </c>
      <c r="K713" t="s">
        <v>2761</v>
      </c>
    </row>
    <row r="714" spans="1:11">
      <c r="A714">
        <v>10171</v>
      </c>
      <c r="B714" t="s">
        <v>2762</v>
      </c>
      <c r="C714" t="s">
        <v>2763</v>
      </c>
      <c r="D714" t="str">
        <f>T("91026")</f>
        <v>91026</v>
      </c>
      <c r="E714" t="s">
        <v>2764</v>
      </c>
      <c r="F714" t="s">
        <v>2189</v>
      </c>
      <c r="G714" t="s">
        <v>2140</v>
      </c>
      <c r="H714" t="s">
        <v>1543</v>
      </c>
      <c r="I714" t="str">
        <f>T("0923944775")</f>
        <v>0923944775</v>
      </c>
      <c r="J714" t="str">
        <f t="shared" si="0"/>
        <v/>
      </c>
      <c r="K714" t="s">
        <v>2765</v>
      </c>
    </row>
    <row r="715" spans="1:11">
      <c r="A715">
        <v>10172</v>
      </c>
      <c r="B715" t="s">
        <v>2766</v>
      </c>
      <c r="C715" t="s">
        <v>2767</v>
      </c>
      <c r="D715" t="str">
        <f>T("88046")</f>
        <v>88046</v>
      </c>
      <c r="E715" t="s">
        <v>2101</v>
      </c>
      <c r="F715" t="s">
        <v>2102</v>
      </c>
      <c r="G715" t="s">
        <v>2103</v>
      </c>
      <c r="H715" t="s">
        <v>1543</v>
      </c>
      <c r="I715" t="str">
        <f>T("0968438223")</f>
        <v>0968438223</v>
      </c>
      <c r="J715" t="str">
        <f t="shared" si="0"/>
        <v/>
      </c>
      <c r="K715" t="s">
        <v>2768</v>
      </c>
    </row>
    <row r="716" spans="1:11">
      <c r="A716">
        <v>10173</v>
      </c>
      <c r="B716" t="s">
        <v>2769</v>
      </c>
      <c r="C716" t="s">
        <v>2770</v>
      </c>
      <c r="D716" t="str">
        <f>T("95045")</f>
        <v>95045</v>
      </c>
      <c r="E716" t="s">
        <v>2771</v>
      </c>
      <c r="F716" t="s">
        <v>2228</v>
      </c>
      <c r="G716" t="s">
        <v>2140</v>
      </c>
      <c r="H716" t="s">
        <v>1543</v>
      </c>
      <c r="I716" t="str">
        <f>T("095304326")</f>
        <v>095304326</v>
      </c>
      <c r="J716" t="str">
        <f t="shared" si="0"/>
        <v/>
      </c>
      <c r="K716" t="s">
        <v>2772</v>
      </c>
    </row>
    <row r="717" spans="1:11">
      <c r="A717">
        <v>10175</v>
      </c>
      <c r="B717" t="s">
        <v>2773</v>
      </c>
      <c r="C717" t="s">
        <v>2774</v>
      </c>
      <c r="D717" t="str">
        <f>T("97015")</f>
        <v>97015</v>
      </c>
      <c r="E717" t="s">
        <v>2775</v>
      </c>
      <c r="F717" t="s">
        <v>2206</v>
      </c>
      <c r="G717" t="s">
        <v>2140</v>
      </c>
      <c r="H717" t="s">
        <v>1543</v>
      </c>
      <c r="I717" t="str">
        <f>T("0932761300")</f>
        <v>0932761300</v>
      </c>
      <c r="J717" t="str">
        <f t="shared" si="0"/>
        <v/>
      </c>
      <c r="K717" t="s">
        <v>2776</v>
      </c>
    </row>
    <row r="718" spans="1:11">
      <c r="A718">
        <v>10177</v>
      </c>
      <c r="B718" t="s">
        <v>2777</v>
      </c>
      <c r="C718" t="s">
        <v>2778</v>
      </c>
      <c r="D718" t="str">
        <f>T("23823")</f>
        <v>23823</v>
      </c>
      <c r="E718" t="s">
        <v>2779</v>
      </c>
      <c r="F718" t="s">
        <v>285</v>
      </c>
      <c r="G718" t="s">
        <v>217</v>
      </c>
      <c r="H718" t="s">
        <v>16</v>
      </c>
      <c r="I718" t="str">
        <f>T("0341941500")</f>
        <v>0341941500</v>
      </c>
      <c r="J718" t="str">
        <f>T("0341933057")</f>
        <v>0341933057</v>
      </c>
      <c r="K718" t="s">
        <v>2780</v>
      </c>
    </row>
    <row r="719" spans="1:11">
      <c r="A719">
        <v>10178</v>
      </c>
      <c r="B719" t="s">
        <v>2781</v>
      </c>
      <c r="C719" t="s">
        <v>2782</v>
      </c>
      <c r="D719" t="str">
        <f>T("95039")</f>
        <v>95039</v>
      </c>
      <c r="E719" t="s">
        <v>2783</v>
      </c>
      <c r="F719" t="s">
        <v>2228</v>
      </c>
      <c r="G719" t="s">
        <v>2140</v>
      </c>
      <c r="H719" t="s">
        <v>1543</v>
      </c>
      <c r="I719" t="str">
        <f>T("3206078403")</f>
        <v>3206078403</v>
      </c>
      <c r="J719" t="str">
        <f>T("")</f>
        <v/>
      </c>
      <c r="K719" t="s">
        <v>2784</v>
      </c>
    </row>
    <row r="720" spans="1:11">
      <c r="A720">
        <v>10179</v>
      </c>
      <c r="B720" t="s">
        <v>2785</v>
      </c>
      <c r="C720" t="s">
        <v>2786</v>
      </c>
      <c r="D720" t="str">
        <f>T("87036")</f>
        <v>87036</v>
      </c>
      <c r="E720" t="s">
        <v>2760</v>
      </c>
      <c r="F720" t="s">
        <v>2113</v>
      </c>
      <c r="G720" t="s">
        <v>2093</v>
      </c>
      <c r="H720" t="s">
        <v>1543</v>
      </c>
      <c r="I720" t="str">
        <f>T("0984839831")</f>
        <v>0984839831</v>
      </c>
      <c r="J720" t="str">
        <f>T("0984839831")</f>
        <v>0984839831</v>
      </c>
      <c r="K720" t="s">
        <v>2787</v>
      </c>
    </row>
    <row r="721" spans="1:11">
      <c r="A721">
        <v>10180</v>
      </c>
      <c r="B721" t="s">
        <v>2788</v>
      </c>
      <c r="C721" t="s">
        <v>2789</v>
      </c>
      <c r="D721" t="str">
        <f>T("00172")</f>
        <v>00172</v>
      </c>
      <c r="E721" t="s">
        <v>18</v>
      </c>
      <c r="F721" t="s">
        <v>19</v>
      </c>
      <c r="G721" t="s">
        <v>20</v>
      </c>
      <c r="H721" t="s">
        <v>1543</v>
      </c>
      <c r="I721" t="str">
        <f>T("066382782")</f>
        <v>066382782</v>
      </c>
      <c r="J721" t="str">
        <f>T("066382782")</f>
        <v>066382782</v>
      </c>
      <c r="K721" t="s">
        <v>2790</v>
      </c>
    </row>
    <row r="722" spans="1:11">
      <c r="A722">
        <v>10181</v>
      </c>
      <c r="B722" t="s">
        <v>2791</v>
      </c>
      <c r="C722" t="s">
        <v>2792</v>
      </c>
      <c r="D722" t="str">
        <f>T("88046")</f>
        <v>88046</v>
      </c>
      <c r="E722" t="s">
        <v>2101</v>
      </c>
      <c r="F722" t="s">
        <v>2102</v>
      </c>
      <c r="G722" t="s">
        <v>2103</v>
      </c>
      <c r="H722" t="s">
        <v>1543</v>
      </c>
      <c r="I722" t="str">
        <f>T("096827371")</f>
        <v>096827371</v>
      </c>
      <c r="J722" t="str">
        <f>T("")</f>
        <v/>
      </c>
      <c r="K722" t="s">
        <v>2793</v>
      </c>
    </row>
    <row r="723" spans="1:11">
      <c r="A723">
        <v>10183</v>
      </c>
      <c r="B723" t="s">
        <v>2794</v>
      </c>
      <c r="C723" t="s">
        <v>2795</v>
      </c>
      <c r="D723" t="str">
        <f>T("21033")</f>
        <v>21033</v>
      </c>
      <c r="E723" t="s">
        <v>2796</v>
      </c>
      <c r="F723" t="s">
        <v>494</v>
      </c>
      <c r="G723" t="s">
        <v>217</v>
      </c>
      <c r="H723" t="s">
        <v>16</v>
      </c>
      <c r="I723" t="str">
        <f>T("0332601296")</f>
        <v>0332601296</v>
      </c>
      <c r="J723" t="str">
        <f>T("0332601303")</f>
        <v>0332601303</v>
      </c>
      <c r="K723" t="s">
        <v>2797</v>
      </c>
    </row>
    <row r="724" spans="1:11">
      <c r="A724">
        <v>10185</v>
      </c>
      <c r="B724" t="s">
        <v>2798</v>
      </c>
      <c r="C724" t="s">
        <v>2799</v>
      </c>
      <c r="D724" t="str">
        <f>T("27036")</f>
        <v>27036</v>
      </c>
      <c r="E724" t="s">
        <v>2800</v>
      </c>
      <c r="F724" t="s">
        <v>414</v>
      </c>
      <c r="G724" t="s">
        <v>217</v>
      </c>
      <c r="H724" t="s">
        <v>16</v>
      </c>
      <c r="I724" t="str">
        <f>T("038499310")</f>
        <v>038499310</v>
      </c>
      <c r="J724" t="str">
        <f>T("0384292084")</f>
        <v>0384292084</v>
      </c>
      <c r="K724" t="s">
        <v>2801</v>
      </c>
    </row>
    <row r="725" spans="1:11">
      <c r="A725">
        <v>10186</v>
      </c>
      <c r="B725" t="s">
        <v>2802</v>
      </c>
      <c r="C725" t="s">
        <v>2803</v>
      </c>
      <c r="D725" t="str">
        <f>T("27100")</f>
        <v>27100</v>
      </c>
      <c r="E725" t="s">
        <v>422</v>
      </c>
      <c r="F725" t="s">
        <v>414</v>
      </c>
      <c r="G725" t="s">
        <v>217</v>
      </c>
      <c r="H725" t="s">
        <v>16</v>
      </c>
      <c r="I725" t="str">
        <f>T("038222846")</f>
        <v>038222846</v>
      </c>
      <c r="J725" t="str">
        <f>T("")</f>
        <v/>
      </c>
      <c r="K725" t="s">
        <v>2804</v>
      </c>
    </row>
    <row r="726" spans="1:11">
      <c r="A726">
        <v>10187</v>
      </c>
      <c r="B726" t="s">
        <v>2805</v>
      </c>
      <c r="C726" t="s">
        <v>2806</v>
      </c>
      <c r="D726" t="str">
        <f>T("48011")</f>
        <v>48011</v>
      </c>
      <c r="E726" t="s">
        <v>2807</v>
      </c>
      <c r="F726" t="s">
        <v>1167</v>
      </c>
      <c r="G726" t="s">
        <v>937</v>
      </c>
      <c r="H726" t="s">
        <v>21</v>
      </c>
      <c r="I726" t="str">
        <f>T("054482389")</f>
        <v>054482389</v>
      </c>
      <c r="J726" t="str">
        <f>T("054484720")</f>
        <v>054484720</v>
      </c>
      <c r="K726" t="s">
        <v>2808</v>
      </c>
    </row>
    <row r="727" spans="1:11">
      <c r="A727">
        <v>10188</v>
      </c>
      <c r="B727" t="s">
        <v>2809</v>
      </c>
      <c r="C727" t="s">
        <v>2810</v>
      </c>
      <c r="D727" t="str">
        <f>T("47021")</f>
        <v>47021</v>
      </c>
      <c r="E727" t="s">
        <v>2811</v>
      </c>
      <c r="F727" t="s">
        <v>1046</v>
      </c>
      <c r="G727" t="s">
        <v>937</v>
      </c>
      <c r="H727" t="s">
        <v>21</v>
      </c>
      <c r="I727" t="str">
        <f>T("0543903208")</f>
        <v>0543903208</v>
      </c>
      <c r="J727" t="str">
        <f>T("0543901477")</f>
        <v>0543901477</v>
      </c>
      <c r="K727" t="s">
        <v>2812</v>
      </c>
    </row>
    <row r="728" spans="1:11">
      <c r="A728">
        <v>10189</v>
      </c>
      <c r="B728" t="s">
        <v>2813</v>
      </c>
      <c r="C728" t="s">
        <v>2814</v>
      </c>
      <c r="D728" t="str">
        <f>T("46019")</f>
        <v>46019</v>
      </c>
      <c r="E728" t="s">
        <v>2815</v>
      </c>
      <c r="F728" t="s">
        <v>333</v>
      </c>
      <c r="G728" t="s">
        <v>217</v>
      </c>
      <c r="H728" t="s">
        <v>16</v>
      </c>
      <c r="I728" t="str">
        <f>T("037582293")</f>
        <v>037582293</v>
      </c>
      <c r="J728" t="str">
        <f>T("0375781874")</f>
        <v>0375781874</v>
      </c>
      <c r="K728" t="s">
        <v>2816</v>
      </c>
    </row>
    <row r="729" spans="1:11">
      <c r="A729">
        <v>10190</v>
      </c>
      <c r="B729" t="s">
        <v>2817</v>
      </c>
      <c r="C729" t="s">
        <v>2818</v>
      </c>
      <c r="D729" t="str">
        <f>T("24022")</f>
        <v>24022</v>
      </c>
      <c r="E729" t="s">
        <v>2819</v>
      </c>
      <c r="F729" t="s">
        <v>216</v>
      </c>
      <c r="G729" t="s">
        <v>217</v>
      </c>
      <c r="H729" t="s">
        <v>16</v>
      </c>
      <c r="I729" t="str">
        <f>T("035519519")</f>
        <v>035519519</v>
      </c>
      <c r="J729" t="str">
        <f>T("")</f>
        <v/>
      </c>
      <c r="K729" t="s">
        <v>2820</v>
      </c>
    </row>
    <row r="730" spans="1:11">
      <c r="A730">
        <v>10191</v>
      </c>
      <c r="B730" t="s">
        <v>2821</v>
      </c>
      <c r="C730" t="s">
        <v>2822</v>
      </c>
      <c r="D730" t="str">
        <f>T("46042")</f>
        <v>46042</v>
      </c>
      <c r="E730" t="s">
        <v>332</v>
      </c>
      <c r="F730" t="s">
        <v>333</v>
      </c>
      <c r="G730" t="s">
        <v>217</v>
      </c>
      <c r="H730" t="s">
        <v>16</v>
      </c>
      <c r="I730" t="str">
        <f>T("0376779480")</f>
        <v>0376779480</v>
      </c>
      <c r="J730" t="str">
        <f>T("0376771096")</f>
        <v>0376771096</v>
      </c>
      <c r="K730" t="s">
        <v>2823</v>
      </c>
    </row>
    <row r="731" spans="1:11">
      <c r="A731">
        <v>10192</v>
      </c>
      <c r="B731" t="s">
        <v>2824</v>
      </c>
      <c r="C731" t="s">
        <v>2825</v>
      </c>
      <c r="D731" t="str">
        <f>T("31030")</f>
        <v>31030</v>
      </c>
      <c r="E731" t="s">
        <v>2826</v>
      </c>
      <c r="F731" t="s">
        <v>656</v>
      </c>
      <c r="G731" t="s">
        <v>594</v>
      </c>
      <c r="H731" t="s">
        <v>21</v>
      </c>
      <c r="I731" t="str">
        <f>T("0422490518")</f>
        <v>0422490518</v>
      </c>
      <c r="J731" t="str">
        <f>T("0422490518")</f>
        <v>0422490518</v>
      </c>
      <c r="K731" t="s">
        <v>2827</v>
      </c>
    </row>
    <row r="732" spans="1:11">
      <c r="A732">
        <v>10193</v>
      </c>
      <c r="B732" t="s">
        <v>2828</v>
      </c>
      <c r="C732" t="s">
        <v>2829</v>
      </c>
      <c r="D732" t="str">
        <f>T("23022")</f>
        <v>23022</v>
      </c>
      <c r="E732" t="s">
        <v>2830</v>
      </c>
      <c r="F732" t="s">
        <v>259</v>
      </c>
      <c r="G732" t="s">
        <v>217</v>
      </c>
      <c r="H732" t="s">
        <v>16</v>
      </c>
      <c r="I732" t="str">
        <f>T("034332124")</f>
        <v>034332124</v>
      </c>
      <c r="J732" t="str">
        <f>T("")</f>
        <v/>
      </c>
      <c r="K732" t="s">
        <v>2831</v>
      </c>
    </row>
    <row r="733" spans="1:11">
      <c r="A733">
        <v>10194</v>
      </c>
      <c r="B733" t="s">
        <v>2832</v>
      </c>
      <c r="C733" t="s">
        <v>2833</v>
      </c>
      <c r="D733" t="str">
        <f>T("80144")</f>
        <v>80144</v>
      </c>
      <c r="E733" t="s">
        <v>1914</v>
      </c>
      <c r="F733" t="s">
        <v>1906</v>
      </c>
      <c r="G733" t="s">
        <v>1858</v>
      </c>
      <c r="H733" t="s">
        <v>1543</v>
      </c>
      <c r="I733" t="str">
        <f>T("08118460658")</f>
        <v>08118460658</v>
      </c>
      <c r="J733" t="str">
        <f>T("08118276010")</f>
        <v>08118276010</v>
      </c>
      <c r="K733" t="s">
        <v>2834</v>
      </c>
    </row>
    <row r="734" spans="1:11">
      <c r="A734">
        <v>10195</v>
      </c>
      <c r="B734" t="s">
        <v>2835</v>
      </c>
      <c r="C734" t="s">
        <v>2836</v>
      </c>
      <c r="D734" t="str">
        <f>T("89034")</f>
        <v>89034</v>
      </c>
      <c r="E734" t="s">
        <v>2837</v>
      </c>
      <c r="F734" t="s">
        <v>2122</v>
      </c>
      <c r="G734" t="s">
        <v>2103</v>
      </c>
      <c r="H734" t="s">
        <v>1543</v>
      </c>
      <c r="I734" t="str">
        <f>T("096466915")</f>
        <v>096466915</v>
      </c>
      <c r="J734" t="str">
        <f>T("")</f>
        <v/>
      </c>
      <c r="K734" t="s">
        <v>2838</v>
      </c>
    </row>
    <row r="735" spans="1:11">
      <c r="A735">
        <v>10196</v>
      </c>
      <c r="B735" t="s">
        <v>2839</v>
      </c>
      <c r="C735" t="s">
        <v>2840</v>
      </c>
      <c r="D735" t="str">
        <f>T("85024")</f>
        <v>85024</v>
      </c>
      <c r="E735" t="s">
        <v>2841</v>
      </c>
      <c r="F735" t="s">
        <v>2092</v>
      </c>
      <c r="G735" t="s">
        <v>2093</v>
      </c>
      <c r="H735" t="s">
        <v>1543</v>
      </c>
      <c r="I735" t="str">
        <f>T("097283707")</f>
        <v>097283707</v>
      </c>
      <c r="J735" t="str">
        <f>T("0972877600")</f>
        <v>0972877600</v>
      </c>
      <c r="K735" t="s">
        <v>2842</v>
      </c>
    </row>
    <row r="736" spans="1:11">
      <c r="A736">
        <v>10197</v>
      </c>
      <c r="B736" t="s">
        <v>2843</v>
      </c>
      <c r="C736" t="s">
        <v>2844</v>
      </c>
      <c r="D736" t="str">
        <f>T("46100")</f>
        <v>46100</v>
      </c>
      <c r="E736" t="s">
        <v>341</v>
      </c>
      <c r="F736" t="s">
        <v>333</v>
      </c>
      <c r="G736" t="s">
        <v>217</v>
      </c>
      <c r="H736" t="s">
        <v>16</v>
      </c>
      <c r="I736" t="str">
        <f>T("0376329959")</f>
        <v>0376329959</v>
      </c>
      <c r="J736" t="str">
        <f>T("0376329959")</f>
        <v>0376329959</v>
      </c>
      <c r="K736" t="s">
        <v>2845</v>
      </c>
    </row>
    <row r="737" spans="1:11">
      <c r="A737">
        <v>10198</v>
      </c>
      <c r="B737" t="s">
        <v>2846</v>
      </c>
      <c r="C737" t="s">
        <v>2847</v>
      </c>
      <c r="D737" t="str">
        <f>T("20082")</f>
        <v>20082</v>
      </c>
      <c r="E737" t="s">
        <v>2848</v>
      </c>
      <c r="F737" t="s">
        <v>361</v>
      </c>
      <c r="G737" t="s">
        <v>217</v>
      </c>
      <c r="H737" t="s">
        <v>16</v>
      </c>
      <c r="I737" t="str">
        <f>T("029053270")</f>
        <v>029053270</v>
      </c>
      <c r="J737" t="str">
        <f>T("0290096392")</f>
        <v>0290096392</v>
      </c>
      <c r="K737" t="s">
        <v>2849</v>
      </c>
    </row>
    <row r="738" spans="1:11">
      <c r="A738">
        <v>10199</v>
      </c>
      <c r="B738" t="s">
        <v>2850</v>
      </c>
      <c r="C738" t="s">
        <v>2851</v>
      </c>
      <c r="D738" t="str">
        <f>T("80040")</f>
        <v>80040</v>
      </c>
      <c r="E738" t="s">
        <v>2852</v>
      </c>
      <c r="F738" t="s">
        <v>1906</v>
      </c>
      <c r="G738" t="s">
        <v>1858</v>
      </c>
      <c r="H738" t="s">
        <v>1543</v>
      </c>
      <c r="I738" t="str">
        <f>T("0817746606")</f>
        <v>0817746606</v>
      </c>
      <c r="J738" t="str">
        <f>T("0817746606")</f>
        <v>0817746606</v>
      </c>
      <c r="K738" t="s">
        <v>2853</v>
      </c>
    </row>
    <row r="739" spans="1:11">
      <c r="A739">
        <v>10200</v>
      </c>
      <c r="B739" t="s">
        <v>2854</v>
      </c>
      <c r="C739" t="s">
        <v>2855</v>
      </c>
      <c r="D739" t="str">
        <f>T("45014")</f>
        <v>45014</v>
      </c>
      <c r="E739" t="s">
        <v>2856</v>
      </c>
      <c r="F739" t="s">
        <v>648</v>
      </c>
      <c r="G739" t="s">
        <v>594</v>
      </c>
      <c r="H739" t="s">
        <v>21</v>
      </c>
      <c r="I739" t="str">
        <f>T("0426322040")</f>
        <v>0426322040</v>
      </c>
      <c r="J739" t="str">
        <f>T("0426322041")</f>
        <v>0426322041</v>
      </c>
      <c r="K739" t="s">
        <v>2857</v>
      </c>
    </row>
    <row r="740" spans="1:11">
      <c r="A740">
        <v>10201</v>
      </c>
      <c r="B740" t="s">
        <v>2858</v>
      </c>
      <c r="C740" t="s">
        <v>2859</v>
      </c>
      <c r="D740" t="str">
        <f>T("92020")</f>
        <v>92020</v>
      </c>
      <c r="E740" t="s">
        <v>2860</v>
      </c>
      <c r="F740" t="s">
        <v>2211</v>
      </c>
      <c r="G740" t="s">
        <v>2140</v>
      </c>
      <c r="H740" t="s">
        <v>1543</v>
      </c>
      <c r="I740" t="str">
        <f>T("0922901782")</f>
        <v>0922901782</v>
      </c>
      <c r="J740" t="str">
        <f>T("")</f>
        <v/>
      </c>
      <c r="K740" t="s">
        <v>2861</v>
      </c>
    </row>
    <row r="741" spans="1:11">
      <c r="A741">
        <v>10202</v>
      </c>
      <c r="B741" t="s">
        <v>2862</v>
      </c>
      <c r="C741" t="s">
        <v>2863</v>
      </c>
      <c r="D741" t="str">
        <f>T("35017")</f>
        <v>35017</v>
      </c>
      <c r="E741" t="s">
        <v>2864</v>
      </c>
      <c r="F741" t="s">
        <v>606</v>
      </c>
      <c r="G741" t="s">
        <v>594</v>
      </c>
      <c r="H741" t="s">
        <v>21</v>
      </c>
      <c r="I741" t="str">
        <f>T("0499365833")</f>
        <v>0499365833</v>
      </c>
      <c r="J741" t="str">
        <f>T("0499365833")</f>
        <v>0499365833</v>
      </c>
      <c r="K741" t="s">
        <v>2865</v>
      </c>
    </row>
    <row r="742" spans="1:11">
      <c r="A742">
        <v>10203</v>
      </c>
      <c r="B742" t="s">
        <v>2866</v>
      </c>
      <c r="C742" t="s">
        <v>2867</v>
      </c>
      <c r="D742" t="str">
        <f>T("10142")</f>
        <v>10142</v>
      </c>
      <c r="E742" t="s">
        <v>13</v>
      </c>
      <c r="F742" t="s">
        <v>14</v>
      </c>
      <c r="G742" t="s">
        <v>15</v>
      </c>
      <c r="H742" t="s">
        <v>16</v>
      </c>
      <c r="I742" t="str">
        <f>T("0110749146")</f>
        <v>0110749146</v>
      </c>
      <c r="J742" t="str">
        <f>T("")</f>
        <v/>
      </c>
      <c r="K742" t="s">
        <v>2868</v>
      </c>
    </row>
    <row r="743" spans="1:11">
      <c r="A743">
        <v>10204</v>
      </c>
      <c r="B743" t="s">
        <v>2869</v>
      </c>
      <c r="C743" t="s">
        <v>2870</v>
      </c>
      <c r="D743" t="str">
        <f>T("03030")</f>
        <v>03030</v>
      </c>
      <c r="E743" t="s">
        <v>2871</v>
      </c>
      <c r="F743" t="s">
        <v>1542</v>
      </c>
      <c r="G743" t="s">
        <v>20</v>
      </c>
      <c r="H743" t="s">
        <v>1543</v>
      </c>
      <c r="I743" t="str">
        <f>T("0776799801")</f>
        <v>0776799801</v>
      </c>
      <c r="J743" t="str">
        <f>T("")</f>
        <v/>
      </c>
      <c r="K743" t="s">
        <v>2872</v>
      </c>
    </row>
    <row r="744" spans="1:11">
      <c r="A744">
        <v>10205</v>
      </c>
      <c r="B744" t="s">
        <v>2873</v>
      </c>
      <c r="C744" t="s">
        <v>2874</v>
      </c>
      <c r="D744" t="str">
        <f>T("80036")</f>
        <v>80036</v>
      </c>
      <c r="E744" t="s">
        <v>2875</v>
      </c>
      <c r="F744" t="s">
        <v>1906</v>
      </c>
      <c r="G744" t="s">
        <v>1858</v>
      </c>
      <c r="H744" t="s">
        <v>1543</v>
      </c>
      <c r="I744" t="str">
        <f>T("0815101596")</f>
        <v>0815101596</v>
      </c>
      <c r="J744" t="str">
        <f>T("")</f>
        <v/>
      </c>
      <c r="K744" t="s">
        <v>2876</v>
      </c>
    </row>
    <row r="745" spans="1:11">
      <c r="A745">
        <v>10207</v>
      </c>
      <c r="B745" t="s">
        <v>2877</v>
      </c>
      <c r="C745" t="s">
        <v>2878</v>
      </c>
      <c r="D745" t="str">
        <f>T("84091")</f>
        <v>84091</v>
      </c>
      <c r="E745" t="s">
        <v>2448</v>
      </c>
      <c r="F745" t="s">
        <v>1857</v>
      </c>
      <c r="G745" t="s">
        <v>1858</v>
      </c>
      <c r="H745" t="s">
        <v>1543</v>
      </c>
      <c r="I745" t="str">
        <f>T("08281951329")</f>
        <v>08281951329</v>
      </c>
      <c r="J745" t="str">
        <f>T("")</f>
        <v/>
      </c>
      <c r="K745" t="s">
        <v>2879</v>
      </c>
    </row>
    <row r="746" spans="1:11">
      <c r="A746">
        <v>10208</v>
      </c>
      <c r="B746" t="s">
        <v>2880</v>
      </c>
      <c r="C746" t="s">
        <v>2881</v>
      </c>
      <c r="D746" t="str">
        <f>T("40014")</f>
        <v>40014</v>
      </c>
      <c r="E746" t="s">
        <v>2882</v>
      </c>
      <c r="F746" t="s">
        <v>936</v>
      </c>
      <c r="G746" t="s">
        <v>937</v>
      </c>
      <c r="H746" t="s">
        <v>16</v>
      </c>
      <c r="I746" t="str">
        <f>T("051980150")</f>
        <v>051980150</v>
      </c>
      <c r="J746" t="str">
        <f>T("051980150")</f>
        <v>051980150</v>
      </c>
      <c r="K746" t="s">
        <v>2883</v>
      </c>
    </row>
    <row r="747" spans="1:11">
      <c r="A747">
        <v>10209</v>
      </c>
      <c r="B747" t="s">
        <v>2884</v>
      </c>
      <c r="C747" t="s">
        <v>2885</v>
      </c>
      <c r="D747" t="str">
        <f>T("74012")</f>
        <v>74012</v>
      </c>
      <c r="E747" t="s">
        <v>2886</v>
      </c>
      <c r="F747" t="s">
        <v>2076</v>
      </c>
      <c r="G747" t="s">
        <v>1999</v>
      </c>
      <c r="H747" t="s">
        <v>1543</v>
      </c>
      <c r="I747" t="str">
        <f>T("099611713")</f>
        <v>099611713</v>
      </c>
      <c r="J747" t="str">
        <f t="shared" ref="J747:J753" si="1">T("")</f>
        <v/>
      </c>
      <c r="K747" t="s">
        <v>2887</v>
      </c>
    </row>
    <row r="748" spans="1:11">
      <c r="A748">
        <v>10210</v>
      </c>
      <c r="B748" t="s">
        <v>2888</v>
      </c>
      <c r="C748" t="s">
        <v>2889</v>
      </c>
      <c r="D748" t="str">
        <f>T("00174")</f>
        <v>00174</v>
      </c>
      <c r="E748" t="s">
        <v>18</v>
      </c>
      <c r="F748" t="s">
        <v>19</v>
      </c>
      <c r="G748" t="s">
        <v>20</v>
      </c>
      <c r="H748" t="s">
        <v>1543</v>
      </c>
      <c r="I748" t="str">
        <f>T("0687561455")</f>
        <v>0687561455</v>
      </c>
      <c r="J748" t="str">
        <f t="shared" si="1"/>
        <v/>
      </c>
      <c r="K748" t="s">
        <v>2890</v>
      </c>
    </row>
    <row r="749" spans="1:11">
      <c r="A749">
        <v>10211</v>
      </c>
      <c r="B749" t="s">
        <v>2891</v>
      </c>
      <c r="C749" t="s">
        <v>2892</v>
      </c>
      <c r="D749" t="str">
        <f>T("73020")</f>
        <v>73020</v>
      </c>
      <c r="E749" t="s">
        <v>2893</v>
      </c>
      <c r="F749" t="s">
        <v>2059</v>
      </c>
      <c r="G749" t="s">
        <v>1999</v>
      </c>
      <c r="H749" t="s">
        <v>1543</v>
      </c>
      <c r="I749" t="str">
        <f>T("0832408351")</f>
        <v>0832408351</v>
      </c>
      <c r="J749" t="str">
        <f t="shared" si="1"/>
        <v/>
      </c>
      <c r="K749" t="s">
        <v>2894</v>
      </c>
    </row>
    <row r="750" spans="1:11">
      <c r="A750">
        <v>10212</v>
      </c>
      <c r="B750" t="s">
        <v>2895</v>
      </c>
      <c r="C750" t="s">
        <v>2896</v>
      </c>
      <c r="D750" t="str">
        <f>T("32044")</f>
        <v>32044</v>
      </c>
      <c r="E750" t="s">
        <v>2897</v>
      </c>
      <c r="F750" t="s">
        <v>593</v>
      </c>
      <c r="G750" t="s">
        <v>594</v>
      </c>
      <c r="H750" t="s">
        <v>21</v>
      </c>
      <c r="I750" t="str">
        <f>T("0435500610")</f>
        <v>0435500610</v>
      </c>
      <c r="J750" t="str">
        <f t="shared" si="1"/>
        <v/>
      </c>
      <c r="K750" t="s">
        <v>2898</v>
      </c>
    </row>
    <row r="751" spans="1:11">
      <c r="A751">
        <v>10213</v>
      </c>
      <c r="B751" t="s">
        <v>2899</v>
      </c>
      <c r="C751" t="s">
        <v>2900</v>
      </c>
      <c r="D751" t="str">
        <f>T("93013")</f>
        <v>93013</v>
      </c>
      <c r="E751" t="s">
        <v>2901</v>
      </c>
      <c r="F751" t="s">
        <v>2139</v>
      </c>
      <c r="G751" t="s">
        <v>2140</v>
      </c>
      <c r="H751" t="s">
        <v>1543</v>
      </c>
      <c r="I751" t="str">
        <f>T("3663277116")</f>
        <v>3663277116</v>
      </c>
      <c r="J751" t="str">
        <f t="shared" si="1"/>
        <v/>
      </c>
      <c r="K751" t="s">
        <v>2902</v>
      </c>
    </row>
    <row r="752" spans="1:11">
      <c r="A752">
        <v>10214</v>
      </c>
      <c r="B752" t="s">
        <v>2903</v>
      </c>
      <c r="C752" t="s">
        <v>2904</v>
      </c>
      <c r="D752" t="str">
        <f>T("90143")</f>
        <v>90143</v>
      </c>
      <c r="E752" t="s">
        <v>2144</v>
      </c>
      <c r="F752" t="s">
        <v>2145</v>
      </c>
      <c r="G752" t="s">
        <v>2140</v>
      </c>
      <c r="H752" t="s">
        <v>1543</v>
      </c>
      <c r="I752" t="str">
        <f>T("0916251011")</f>
        <v>0916251011</v>
      </c>
      <c r="J752" t="str">
        <f t="shared" si="1"/>
        <v/>
      </c>
      <c r="K752" t="s">
        <v>2905</v>
      </c>
    </row>
    <row r="753" spans="1:11">
      <c r="A753">
        <v>10215</v>
      </c>
      <c r="B753" t="s">
        <v>2906</v>
      </c>
      <c r="C753" t="s">
        <v>2907</v>
      </c>
      <c r="D753" t="str">
        <f>T("45100")</f>
        <v>45100</v>
      </c>
      <c r="E753" t="s">
        <v>651</v>
      </c>
      <c r="F753" t="s">
        <v>648</v>
      </c>
      <c r="G753" t="s">
        <v>594</v>
      </c>
      <c r="H753" t="s">
        <v>21</v>
      </c>
      <c r="I753" t="str">
        <f>T("0425072110")</f>
        <v>0425072110</v>
      </c>
      <c r="J753" t="str">
        <f t="shared" si="1"/>
        <v/>
      </c>
      <c r="K753" t="s">
        <v>2908</v>
      </c>
    </row>
    <row r="754" spans="1:11">
      <c r="A754">
        <v>10217</v>
      </c>
      <c r="B754" t="s">
        <v>2909</v>
      </c>
      <c r="C754" t="s">
        <v>2910</v>
      </c>
      <c r="D754" t="str">
        <f>T("61023")</f>
        <v>61023</v>
      </c>
      <c r="E754" t="s">
        <v>2911</v>
      </c>
      <c r="F754" t="s">
        <v>1534</v>
      </c>
      <c r="G754" t="s">
        <v>1455</v>
      </c>
      <c r="H754" t="s">
        <v>21</v>
      </c>
      <c r="I754" t="str">
        <f>T("072274710")</f>
        <v>072274710</v>
      </c>
      <c r="J754" t="str">
        <f>T("072274710")</f>
        <v>072274710</v>
      </c>
      <c r="K754" t="s">
        <v>2912</v>
      </c>
    </row>
    <row r="755" spans="1:11">
      <c r="A755">
        <v>10218</v>
      </c>
      <c r="B755" t="s">
        <v>2913</v>
      </c>
      <c r="C755" t="s">
        <v>2914</v>
      </c>
      <c r="D755" t="str">
        <f>T("26866")</f>
        <v>26866</v>
      </c>
      <c r="E755" t="s">
        <v>2915</v>
      </c>
      <c r="F755" t="s">
        <v>489</v>
      </c>
      <c r="G755" t="s">
        <v>217</v>
      </c>
      <c r="H755" t="s">
        <v>16</v>
      </c>
      <c r="I755" t="str">
        <f>T("0371217143")</f>
        <v>0371217143</v>
      </c>
      <c r="J755" t="str">
        <f>T("0371217143")</f>
        <v>0371217143</v>
      </c>
      <c r="K755" t="s">
        <v>2916</v>
      </c>
    </row>
    <row r="756" spans="1:11">
      <c r="A756">
        <v>10219</v>
      </c>
      <c r="B756" t="s">
        <v>2917</v>
      </c>
      <c r="C756" t="s">
        <v>2918</v>
      </c>
      <c r="D756" t="str">
        <f>T("85100")</f>
        <v>85100</v>
      </c>
      <c r="E756" t="s">
        <v>2919</v>
      </c>
      <c r="F756" t="s">
        <v>2092</v>
      </c>
      <c r="G756" t="s">
        <v>2093</v>
      </c>
      <c r="H756" t="s">
        <v>1543</v>
      </c>
      <c r="I756" t="str">
        <f>T("097156600")</f>
        <v>097156600</v>
      </c>
      <c r="J756" t="str">
        <f>T("097156600")</f>
        <v>097156600</v>
      </c>
      <c r="K756" t="s">
        <v>2920</v>
      </c>
    </row>
    <row r="757" spans="1:11">
      <c r="A757">
        <v>10220</v>
      </c>
      <c r="B757" t="s">
        <v>2921</v>
      </c>
      <c r="C757" t="s">
        <v>2922</v>
      </c>
      <c r="D757" t="str">
        <f>T("84025")</f>
        <v>84025</v>
      </c>
      <c r="E757" t="s">
        <v>2923</v>
      </c>
      <c r="F757" t="s">
        <v>1857</v>
      </c>
      <c r="G757" t="s">
        <v>1858</v>
      </c>
      <c r="H757" t="s">
        <v>1543</v>
      </c>
      <c r="I757" t="str">
        <f>T("0828332840")</f>
        <v>0828332840</v>
      </c>
      <c r="J757" t="str">
        <f>T("0828332840")</f>
        <v>0828332840</v>
      </c>
      <c r="K757" t="s">
        <v>2924</v>
      </c>
    </row>
    <row r="758" spans="1:11">
      <c r="A758">
        <v>10221</v>
      </c>
      <c r="B758" t="s">
        <v>2925</v>
      </c>
      <c r="C758" t="s">
        <v>2926</v>
      </c>
      <c r="D758" t="str">
        <f>T("98070")</f>
        <v>98070</v>
      </c>
      <c r="E758" t="s">
        <v>2927</v>
      </c>
      <c r="F758" t="s">
        <v>2184</v>
      </c>
      <c r="G758" t="s">
        <v>2140</v>
      </c>
      <c r="H758" t="s">
        <v>1543</v>
      </c>
      <c r="I758" t="str">
        <f>T("3382229203")</f>
        <v>3382229203</v>
      </c>
      <c r="J758" t="str">
        <f>T("")</f>
        <v/>
      </c>
      <c r="K758" t="s">
        <v>2928</v>
      </c>
    </row>
    <row r="759" spans="1:11">
      <c r="A759">
        <v>10222</v>
      </c>
      <c r="B759" t="s">
        <v>2929</v>
      </c>
      <c r="C759" t="s">
        <v>2930</v>
      </c>
      <c r="D759" t="str">
        <f>T("66026")</f>
        <v>66026</v>
      </c>
      <c r="E759" t="s">
        <v>2931</v>
      </c>
      <c r="F759" t="s">
        <v>1786</v>
      </c>
      <c r="G759" t="s">
        <v>1787</v>
      </c>
      <c r="H759" t="s">
        <v>21</v>
      </c>
      <c r="I759" t="str">
        <f>T("0859062032")</f>
        <v>0859062032</v>
      </c>
      <c r="J759" t="str">
        <f>T("")</f>
        <v/>
      </c>
      <c r="K759" t="s">
        <v>2932</v>
      </c>
    </row>
    <row r="760" spans="1:11">
      <c r="A760">
        <v>10223</v>
      </c>
      <c r="B760" t="s">
        <v>2933</v>
      </c>
      <c r="C760" t="s">
        <v>2934</v>
      </c>
      <c r="D760" t="str">
        <f>T("65026")</f>
        <v>65026</v>
      </c>
      <c r="E760" t="s">
        <v>2935</v>
      </c>
      <c r="F760" t="s">
        <v>1838</v>
      </c>
      <c r="G760" t="s">
        <v>1787</v>
      </c>
      <c r="H760" t="s">
        <v>21</v>
      </c>
      <c r="I760" t="str">
        <f>T("3497645072")</f>
        <v>3497645072</v>
      </c>
      <c r="J760" t="str">
        <f>T("")</f>
        <v/>
      </c>
      <c r="K760" t="s">
        <v>2936</v>
      </c>
    </row>
    <row r="761" spans="1:11">
      <c r="A761">
        <v>10224</v>
      </c>
      <c r="B761" t="s">
        <v>2937</v>
      </c>
      <c r="C761" t="s">
        <v>2938</v>
      </c>
      <c r="D761" t="str">
        <f>T("95031")</f>
        <v>95031</v>
      </c>
      <c r="E761" t="s">
        <v>2939</v>
      </c>
      <c r="F761" t="s">
        <v>2228</v>
      </c>
      <c r="G761" t="s">
        <v>2140</v>
      </c>
      <c r="H761" t="s">
        <v>1543</v>
      </c>
      <c r="I761" t="str">
        <f>T("0957691217")</f>
        <v>0957691217</v>
      </c>
      <c r="J761" t="str">
        <f>T("")</f>
        <v/>
      </c>
      <c r="K761" t="s">
        <v>2940</v>
      </c>
    </row>
    <row r="762" spans="1:11">
      <c r="A762">
        <v>10225</v>
      </c>
      <c r="B762" t="s">
        <v>2941</v>
      </c>
      <c r="C762" t="s">
        <v>2942</v>
      </c>
      <c r="D762" t="str">
        <f>T("40126")</f>
        <v>40126</v>
      </c>
      <c r="E762" t="s">
        <v>973</v>
      </c>
      <c r="F762" t="s">
        <v>936</v>
      </c>
      <c r="G762" t="s">
        <v>937</v>
      </c>
      <c r="H762" t="s">
        <v>204</v>
      </c>
      <c r="I762" t="str">
        <f>T("051244213")</f>
        <v>051244213</v>
      </c>
      <c r="J762" t="str">
        <f>T("051244213")</f>
        <v>051244213</v>
      </c>
      <c r="K762" t="s">
        <v>2943</v>
      </c>
    </row>
    <row r="763" spans="1:11">
      <c r="A763">
        <v>10226</v>
      </c>
      <c r="B763" t="s">
        <v>2944</v>
      </c>
      <c r="C763" t="s">
        <v>2945</v>
      </c>
      <c r="D763" t="str">
        <f>T("80055")</f>
        <v>80055</v>
      </c>
      <c r="E763" t="s">
        <v>2088</v>
      </c>
      <c r="F763" t="s">
        <v>1906</v>
      </c>
      <c r="G763" t="s">
        <v>1858</v>
      </c>
      <c r="H763" t="s">
        <v>1543</v>
      </c>
      <c r="I763" t="str">
        <f>T("0817887390")</f>
        <v>0817887390</v>
      </c>
      <c r="J763" t="str">
        <f>T("0817766465")</f>
        <v>0817766465</v>
      </c>
      <c r="K763" t="s">
        <v>2946</v>
      </c>
    </row>
    <row r="764" spans="1:11">
      <c r="A764">
        <v>10227</v>
      </c>
      <c r="B764" t="s">
        <v>2947</v>
      </c>
      <c r="C764" t="s">
        <v>2948</v>
      </c>
      <c r="D764" t="str">
        <f>T("95025")</f>
        <v>95025</v>
      </c>
      <c r="E764" t="s">
        <v>2949</v>
      </c>
      <c r="F764" t="s">
        <v>2228</v>
      </c>
      <c r="G764" t="s">
        <v>2140</v>
      </c>
      <c r="H764" t="s">
        <v>1543</v>
      </c>
      <c r="I764" t="str">
        <f>T("0957021041")</f>
        <v>0957021041</v>
      </c>
      <c r="J764" t="str">
        <f>T("0957021041")</f>
        <v>0957021041</v>
      </c>
      <c r="K764" t="s">
        <v>2950</v>
      </c>
    </row>
    <row r="765" spans="1:11">
      <c r="A765">
        <v>10229</v>
      </c>
      <c r="B765" t="s">
        <v>2951</v>
      </c>
      <c r="C765" t="s">
        <v>2952</v>
      </c>
      <c r="D765" t="str">
        <f>T("80011")</f>
        <v>80011</v>
      </c>
      <c r="E765" t="s">
        <v>2605</v>
      </c>
      <c r="F765" t="s">
        <v>1906</v>
      </c>
      <c r="G765" t="s">
        <v>1858</v>
      </c>
      <c r="H765" t="s">
        <v>1543</v>
      </c>
      <c r="I765" t="str">
        <f>T("0815203115")</f>
        <v>0815203115</v>
      </c>
      <c r="J765" t="str">
        <f>T("")</f>
        <v/>
      </c>
      <c r="K765" t="s">
        <v>2953</v>
      </c>
    </row>
    <row r="766" spans="1:11">
      <c r="A766">
        <v>10230</v>
      </c>
      <c r="B766" t="s">
        <v>2954</v>
      </c>
      <c r="C766" t="s">
        <v>2955</v>
      </c>
      <c r="D766" t="str">
        <f>T("25019")</f>
        <v>25019</v>
      </c>
      <c r="E766" t="s">
        <v>2956</v>
      </c>
      <c r="F766" t="s">
        <v>530</v>
      </c>
      <c r="G766" t="s">
        <v>217</v>
      </c>
      <c r="H766" t="s">
        <v>204</v>
      </c>
      <c r="I766" t="str">
        <f>T("0309196132")</f>
        <v>0309196132</v>
      </c>
      <c r="J766" t="str">
        <f>T("0309197077")</f>
        <v>0309197077</v>
      </c>
      <c r="K766" t="s">
        <v>2957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Report_Anagrafica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Mastronardi_E</dc:creator>
  <cp:lastModifiedBy>Mastronardi_E</cp:lastModifiedBy>
  <dcterms:created xsi:type="dcterms:W3CDTF">2019-11-13T17:03:02Z</dcterms:created>
  <dcterms:modified xsi:type="dcterms:W3CDTF">2019-12-02T16:23:39Z</dcterms:modified>
</cp:coreProperties>
</file>